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showHorizontalScroll="0" showVerticalScroll="0" xWindow="360" yWindow="300" windowWidth="12150" windowHeight="9000"/>
  </bookViews>
  <sheets>
    <sheet name="A" sheetId="1" r:id="rId1"/>
  </sheets>
  <definedNames>
    <definedName name="ANSWERS">A!$M$34:$Z$67</definedName>
    <definedName name="HEADER">A!$A$5:$J$9</definedName>
    <definedName name="LOGO">A!$A$1:$J$4</definedName>
    <definedName name="PARAMETERS">A!$A$1:$J$33</definedName>
    <definedName name="_xlnm.Print_Area" localSheetId="0">A!$A$1:$AX$67</definedName>
    <definedName name="RAW_DATA">A!$A$34:$M$67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W46" i="1" l="1"/>
  <c r="Z52" i="1"/>
  <c r="Z51" i="1"/>
  <c r="Z50" i="1"/>
  <c r="Y52" i="1"/>
  <c r="Y51" i="1"/>
  <c r="Y50" i="1"/>
  <c r="X52" i="1"/>
  <c r="X51" i="1"/>
  <c r="X50" i="1"/>
  <c r="W52" i="1"/>
  <c r="W51" i="1"/>
  <c r="W50" i="1"/>
  <c r="T39" i="1" l="1"/>
  <c r="T45" i="1"/>
  <c r="T44" i="1"/>
  <c r="T43" i="1"/>
  <c r="T42" i="1"/>
  <c r="T41" i="1"/>
  <c r="T40" i="1"/>
  <c r="AD45" i="1"/>
  <c r="AC45" i="1"/>
  <c r="AB45" i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R8" i="1"/>
  <c r="R7" i="1"/>
  <c r="R6" i="1"/>
  <c r="Q9" i="1"/>
  <c r="O9" i="1"/>
  <c r="G26" i="1"/>
  <c r="Q8" i="1"/>
  <c r="P8" i="1"/>
  <c r="O8" i="1"/>
  <c r="Q7" i="1"/>
  <c r="P7" i="1"/>
  <c r="O7" i="1"/>
  <c r="Q6" i="1"/>
  <c r="P6" i="1"/>
  <c r="O6" i="1"/>
  <c r="B45" i="1"/>
  <c r="B44" i="1"/>
  <c r="B43" i="1"/>
  <c r="B42" i="1"/>
  <c r="B41" i="1"/>
  <c r="B40" i="1"/>
  <c r="B39" i="1"/>
  <c r="A45" i="1"/>
  <c r="A44" i="1"/>
  <c r="A43" i="1"/>
  <c r="A42" i="1"/>
  <c r="A41" i="1"/>
  <c r="A40" i="1"/>
  <c r="A39" i="1"/>
  <c r="L6" i="1" l="1"/>
  <c r="L7" i="1"/>
  <c r="L8" i="1"/>
  <c r="L9" i="1"/>
  <c r="L10" i="1"/>
  <c r="L11" i="1"/>
  <c r="L12" i="1"/>
  <c r="L22" i="1"/>
  <c r="L13" i="1"/>
  <c r="L14" i="1"/>
  <c r="L15" i="1"/>
  <c r="L16" i="1"/>
  <c r="L17" i="1"/>
  <c r="L18" i="1"/>
  <c r="L20" i="1"/>
  <c r="L21" i="1"/>
  <c r="L23" i="1"/>
  <c r="L24" i="1"/>
  <c r="L27" i="1"/>
  <c r="L28" i="1"/>
  <c r="H37" i="1" s="1"/>
  <c r="L29" i="1"/>
  <c r="L30" i="1"/>
  <c r="L31" i="1"/>
  <c r="L32" i="1"/>
  <c r="T49" i="1" s="1"/>
  <c r="AA34" i="1"/>
  <c r="AA35" i="1" s="1"/>
  <c r="AA36" i="1" s="1"/>
  <c r="AA37" i="1" s="1"/>
  <c r="Q39" i="1"/>
  <c r="O39" i="1"/>
  <c r="Q40" i="1"/>
  <c r="O40" i="1"/>
  <c r="AW40" i="1" s="1"/>
  <c r="Q41" i="1"/>
  <c r="AV41" i="1" s="1"/>
  <c r="O41" i="1"/>
  <c r="AU41" i="1" s="1"/>
  <c r="Q42" i="1"/>
  <c r="O42" i="1"/>
  <c r="Q43" i="1"/>
  <c r="O43" i="1"/>
  <c r="AW43" i="1" s="1"/>
  <c r="Q44" i="1"/>
  <c r="O44" i="1"/>
  <c r="AW44" i="1" s="1"/>
  <c r="Q45" i="1"/>
  <c r="AV45" i="1" s="1"/>
  <c r="O45" i="1"/>
  <c r="AU45" i="1" s="1"/>
  <c r="P36" i="1"/>
  <c r="A37" i="1"/>
  <c r="B37" i="1"/>
  <c r="L37" i="1"/>
  <c r="M37" i="1"/>
  <c r="Z37" i="1"/>
  <c r="R39" i="1"/>
  <c r="U39" i="1"/>
  <c r="V39" i="1"/>
  <c r="W39" i="1"/>
  <c r="AA39" i="1"/>
  <c r="AA40" i="1" s="1"/>
  <c r="AA41" i="1" s="1"/>
  <c r="AA42" i="1" s="1"/>
  <c r="AA43" i="1" s="1"/>
  <c r="AA44" i="1" s="1"/>
  <c r="AA45" i="1" s="1"/>
  <c r="G40" i="1"/>
  <c r="R40" i="1"/>
  <c r="V40" i="1"/>
  <c r="W40" i="1"/>
  <c r="AV40" i="1"/>
  <c r="G41" i="1"/>
  <c r="R41" i="1"/>
  <c r="V41" i="1"/>
  <c r="W41" i="1"/>
  <c r="G42" i="1"/>
  <c r="R42" i="1"/>
  <c r="V42" i="1"/>
  <c r="W42" i="1"/>
  <c r="AU42" i="1"/>
  <c r="G43" i="1"/>
  <c r="R43" i="1"/>
  <c r="V43" i="1"/>
  <c r="W43" i="1"/>
  <c r="AV43" i="1"/>
  <c r="G44" i="1"/>
  <c r="R44" i="1"/>
  <c r="V44" i="1"/>
  <c r="W44" i="1"/>
  <c r="AV44" i="1"/>
  <c r="R45" i="1"/>
  <c r="V45" i="1"/>
  <c r="W45" i="1"/>
  <c r="P48" i="1"/>
  <c r="S48" i="1"/>
  <c r="R49" i="1"/>
  <c r="S49" i="1"/>
  <c r="U49" i="1"/>
  <c r="AW45" i="1" l="1"/>
  <c r="V37" i="1"/>
  <c r="G37" i="1"/>
  <c r="P45" i="1"/>
  <c r="P44" i="1"/>
  <c r="P43" i="1"/>
  <c r="AT43" i="1" s="1"/>
  <c r="AU43" i="1"/>
  <c r="AW42" i="1"/>
  <c r="P42" i="1"/>
  <c r="P41" i="1"/>
  <c r="AW41" i="1"/>
  <c r="AU40" i="1"/>
  <c r="P40" i="1"/>
  <c r="AT40" i="1" s="1"/>
  <c r="P39" i="1"/>
  <c r="S39" i="1" s="1"/>
  <c r="AU39" i="1"/>
  <c r="AU44" i="1"/>
  <c r="AW39" i="1"/>
  <c r="Z39" i="1"/>
  <c r="AV42" i="1"/>
  <c r="AV39" i="1"/>
  <c r="M42" i="1"/>
  <c r="M39" i="1"/>
  <c r="M44" i="1" l="1"/>
  <c r="AM39" i="1"/>
  <c r="AI44" i="1"/>
  <c r="M40" i="1"/>
  <c r="Z41" i="1"/>
  <c r="AT41" i="1"/>
  <c r="S41" i="1"/>
  <c r="Z42" i="1"/>
  <c r="S40" i="1"/>
  <c r="S43" i="1"/>
  <c r="Z45" i="1"/>
  <c r="AJ42" i="1"/>
  <c r="S42" i="1"/>
  <c r="AT42" i="1"/>
  <c r="AE42" i="1"/>
  <c r="AT45" i="1"/>
  <c r="Z43" i="1"/>
  <c r="M41" i="1"/>
  <c r="M45" i="1"/>
  <c r="S45" i="1"/>
  <c r="Z40" i="1"/>
  <c r="M43" i="1"/>
  <c r="Z44" i="1"/>
  <c r="AM44" i="1"/>
  <c r="AF39" i="1"/>
  <c r="AT39" i="1"/>
  <c r="AT44" i="1"/>
  <c r="S44" i="1"/>
  <c r="AR44" i="1" l="1"/>
  <c r="AP42" i="1"/>
  <c r="AQ42" i="1" s="1"/>
  <c r="AF44" i="1"/>
  <c r="AG44" i="1" s="1"/>
  <c r="AR39" i="1"/>
  <c r="AJ39" i="1"/>
  <c r="AP39" i="1"/>
  <c r="AQ39" i="1" s="1"/>
  <c r="AO39" i="1"/>
  <c r="AS39" i="1"/>
  <c r="AI40" i="1"/>
  <c r="AS40" i="1"/>
  <c r="AN40" i="1"/>
  <c r="AK42" i="1"/>
  <c r="AL42" i="1" s="1"/>
  <c r="AE44" i="1"/>
  <c r="AH44" i="1"/>
  <c r="AE40" i="1"/>
  <c r="AR42" i="1"/>
  <c r="AS42" i="1"/>
  <c r="AS44" i="1"/>
  <c r="AH39" i="1"/>
  <c r="AK39" i="1"/>
  <c r="AL39" i="1" s="1"/>
  <c r="AM42" i="1"/>
  <c r="AN39" i="1"/>
  <c r="AE39" i="1"/>
  <c r="AO42" i="1"/>
  <c r="AR40" i="1"/>
  <c r="AH40" i="1"/>
  <c r="AG39" i="1"/>
  <c r="AM43" i="1"/>
  <c r="AS43" i="1"/>
  <c r="AK43" i="1"/>
  <c r="AL43" i="1" s="1"/>
  <c r="AI43" i="1"/>
  <c r="AN43" i="1"/>
  <c r="AJ43" i="1"/>
  <c r="AR43" i="1"/>
  <c r="AF43" i="1"/>
  <c r="AG43" i="1" s="1"/>
  <c r="AE43" i="1"/>
  <c r="AO43" i="1"/>
  <c r="AH43" i="1"/>
  <c r="AP43" i="1"/>
  <c r="AQ43" i="1" s="1"/>
  <c r="AK40" i="1"/>
  <c r="AL40" i="1" s="1"/>
  <c r="AO45" i="1"/>
  <c r="AI45" i="1"/>
  <c r="AN45" i="1"/>
  <c r="AR45" i="1"/>
  <c r="AH45" i="1"/>
  <c r="AE45" i="1"/>
  <c r="AJ45" i="1"/>
  <c r="AF45" i="1"/>
  <c r="AG45" i="1" s="1"/>
  <c r="AM45" i="1"/>
  <c r="AS45" i="1"/>
  <c r="AK45" i="1"/>
  <c r="AL45" i="1" s="1"/>
  <c r="AP45" i="1"/>
  <c r="AQ45" i="1" s="1"/>
  <c r="AH42" i="1"/>
  <c r="AF42" i="1"/>
  <c r="AG42" i="1" s="1"/>
  <c r="AI39" i="1"/>
  <c r="AP40" i="1"/>
  <c r="AQ40" i="1" s="1"/>
  <c r="AF40" i="1"/>
  <c r="AG40" i="1" s="1"/>
  <c r="AJ40" i="1"/>
  <c r="AO40" i="1"/>
  <c r="AN42" i="1"/>
  <c r="AK44" i="1"/>
  <c r="AL44" i="1" s="1"/>
  <c r="AP44" i="1"/>
  <c r="AQ44" i="1" s="1"/>
  <c r="AM40" i="1"/>
  <c r="AI42" i="1"/>
  <c r="AJ44" i="1"/>
  <c r="AO44" i="1"/>
  <c r="AJ41" i="1"/>
  <c r="AN41" i="1"/>
  <c r="AS41" i="1"/>
  <c r="AO41" i="1"/>
  <c r="AE41" i="1"/>
  <c r="AM41" i="1"/>
  <c r="AI41" i="1"/>
  <c r="AR41" i="1"/>
  <c r="AK41" i="1"/>
  <c r="AL41" i="1" s="1"/>
  <c r="AF41" i="1"/>
  <c r="AG41" i="1" s="1"/>
  <c r="AH41" i="1"/>
  <c r="AP41" i="1"/>
  <c r="AQ41" i="1" s="1"/>
  <c r="AN44" i="1"/>
  <c r="AR35" i="1" l="1"/>
  <c r="T52" i="1"/>
  <c r="S51" i="1"/>
  <c r="U40" i="1"/>
  <c r="U41" i="1" s="1"/>
  <c r="U42" i="1" s="1"/>
  <c r="U43" i="1" s="1"/>
  <c r="U44" i="1" s="1"/>
  <c r="U45" i="1" s="1"/>
  <c r="U52" i="1"/>
  <c r="T50" i="1"/>
  <c r="U51" i="1"/>
  <c r="N51" i="1" s="1"/>
  <c r="S52" i="1"/>
  <c r="R50" i="1"/>
  <c r="R52" i="1"/>
  <c r="O52" i="1" s="1"/>
  <c r="S50" i="1"/>
  <c r="R51" i="1"/>
  <c r="T51" i="1"/>
  <c r="U50" i="1"/>
  <c r="Q52" i="1" l="1"/>
  <c r="P51" i="1"/>
  <c r="N52" i="1"/>
  <c r="P50" i="1"/>
  <c r="Q51" i="1"/>
  <c r="O50" i="1"/>
  <c r="N50" i="1"/>
  <c r="Q50" i="1"/>
  <c r="O51" i="1"/>
  <c r="P52" i="1"/>
</calcChain>
</file>

<file path=xl/sharedStrings.xml><?xml version="1.0" encoding="utf-8"?>
<sst xmlns="http://schemas.openxmlformats.org/spreadsheetml/2006/main" count="216" uniqueCount="140">
  <si>
    <t xml:space="preserve">          A Knowledge Based System For Formation Evaluation     </t>
  </si>
  <si>
    <t>GAS ON/OFF</t>
  </si>
  <si>
    <t>0=Oil,1=Gas</t>
  </si>
  <si>
    <t>The Results section of this spreadsheet is laid out to match the Results section of</t>
  </si>
  <si>
    <t>the META/LOG "ESP" log analysis sprteadsheet, so that comparison of log to core</t>
  </si>
  <si>
    <t>can 'be made easily. Note that Vsh can be typed into column N and SW can be typed</t>
  </si>
  <si>
    <t>into column P or calculated from SW = KBUCKL / PHIe.</t>
  </si>
  <si>
    <t>PHIe is limited by PHIMAX * (1 - Vsh) and Perm is limited by PERMAX.</t>
  </si>
  <si>
    <t>Insert more rows in middle of core array as needed, then copy M47..AT47 down to bottom of array.</t>
  </si>
  <si>
    <t>________________________</t>
  </si>
  <si>
    <t>11-36-72-8W6</t>
  </si>
  <si>
    <t xml:space="preserve"> DEPTH</t>
  </si>
  <si>
    <t>Set 1</t>
  </si>
  <si>
    <t>Set 2</t>
  </si>
  <si>
    <t>Set 3</t>
  </si>
  <si>
    <t>______________________</t>
  </si>
  <si>
    <t xml:space="preserve">BOTTOM </t>
  </si>
  <si>
    <t>Click on graph to edit scales, titles, or data ranges</t>
  </si>
  <si>
    <t>KBUCKL</t>
  </si>
  <si>
    <t>VSHMAX</t>
  </si>
  <si>
    <t xml:space="preserve">K-MAX </t>
  </si>
  <si>
    <t xml:space="preserve">md </t>
  </si>
  <si>
    <t>Enter 0.01 if Perms are zero or missing</t>
  </si>
  <si>
    <t xml:space="preserve"> COMMENTS:</t>
  </si>
  <si>
    <t>frac</t>
  </si>
  <si>
    <t xml:space="preserve">K-90 </t>
  </si>
  <si>
    <t>PHIMAX</t>
  </si>
  <si>
    <t>PHIMIN</t>
  </si>
  <si>
    <t xml:space="preserve">K-VRT </t>
  </si>
  <si>
    <t xml:space="preserve">POR </t>
  </si>
  <si>
    <t xml:space="preserve">frac </t>
  </si>
  <si>
    <t>UNITS</t>
  </si>
  <si>
    <t>PERMAX</t>
  </si>
  <si>
    <t>SWMAX</t>
  </si>
  <si>
    <t xml:space="preserve">DENS </t>
  </si>
  <si>
    <t>E. R. Crain, P.Eng.</t>
  </si>
  <si>
    <t>M</t>
  </si>
  <si>
    <t>md</t>
  </si>
  <si>
    <t>PERMIN</t>
  </si>
  <si>
    <t>PV_OIL</t>
  </si>
  <si>
    <t>______________</t>
  </si>
  <si>
    <t>PV_WTR</t>
  </si>
  <si>
    <t>feet</t>
  </si>
  <si>
    <t>us/ft</t>
  </si>
  <si>
    <t>psi</t>
  </si>
  <si>
    <t>Mcf/d</t>
  </si>
  <si>
    <t>gm/cc</t>
  </si>
  <si>
    <t>inches</t>
  </si>
  <si>
    <t>'F</t>
  </si>
  <si>
    <t>English</t>
  </si>
  <si>
    <t>md-ft</t>
  </si>
  <si>
    <t>mcf</t>
  </si>
  <si>
    <t>$/mcf</t>
  </si>
  <si>
    <t>bbl/psi</t>
  </si>
  <si>
    <t>DESC</t>
  </si>
  <si>
    <t>SS</t>
  </si>
  <si>
    <t>SS,DOL</t>
  </si>
  <si>
    <t>METRIC CONVR</t>
  </si>
  <si>
    <t>Used</t>
  </si>
  <si>
    <t xml:space="preserve">KB_ELV  </t>
  </si>
  <si>
    <t>bbl/d</t>
  </si>
  <si>
    <t xml:space="preserve">Incr </t>
  </si>
  <si>
    <t xml:space="preserve"> Metric</t>
  </si>
  <si>
    <t>meters</t>
  </si>
  <si>
    <t>us/m</t>
  </si>
  <si>
    <t>KPa</t>
  </si>
  <si>
    <t>m3/d</t>
  </si>
  <si>
    <t>Kg/m3</t>
  </si>
  <si>
    <t>mm</t>
  </si>
  <si>
    <t>'C</t>
  </si>
  <si>
    <t>Metric</t>
  </si>
  <si>
    <t>md-m</t>
  </si>
  <si>
    <t xml:space="preserve">Vsh  </t>
  </si>
  <si>
    <t xml:space="preserve">frac  </t>
  </si>
  <si>
    <t xml:space="preserve">    ------ Averages ------</t>
  </si>
  <si>
    <t>DON'T MESS WITH THESE NUMBERS</t>
  </si>
  <si>
    <t xml:space="preserve">PHIe  </t>
  </si>
  <si>
    <t xml:space="preserve">PHIe </t>
  </si>
  <si>
    <t xml:space="preserve">  to</t>
  </si>
  <si>
    <t>Start line#</t>
  </si>
  <si>
    <t>META/CORE SUMMARY TABLE</t>
  </si>
  <si>
    <t>META/CORE FINAL RESULTS</t>
  </si>
  <si>
    <t xml:space="preserve">Perm  </t>
  </si>
  <si>
    <t xml:space="preserve">md  </t>
  </si>
  <si>
    <t>PRMmin</t>
  </si>
  <si>
    <t>Depthcut</t>
  </si>
  <si>
    <t>Kv/Khor</t>
  </si>
  <si>
    <t xml:space="preserve">   ------ Volumes ------</t>
  </si>
  <si>
    <t xml:space="preserve">Phi-H  </t>
  </si>
  <si>
    <t xml:space="preserve">Phi*Sw  </t>
  </si>
  <si>
    <t xml:space="preserve">Pay  </t>
  </si>
  <si>
    <t xml:space="preserve">Flag  </t>
  </si>
  <si>
    <t xml:space="preserve">K-H  </t>
  </si>
  <si>
    <t xml:space="preserve">Cum'l  </t>
  </si>
  <si>
    <t xml:space="preserve">KH   </t>
  </si>
  <si>
    <t xml:space="preserve">Net  </t>
  </si>
  <si>
    <t xml:space="preserve">DENSma </t>
  </si>
  <si>
    <t xml:space="preserve">  Full Description</t>
  </si>
  <si>
    <t xml:space="preserve">    or Comments</t>
  </si>
  <si>
    <t xml:space="preserve">   ------ Cutoffs ------</t>
  </si>
  <si>
    <t xml:space="preserve">Sw  </t>
  </si>
  <si>
    <t xml:space="preserve">Subsea  </t>
  </si>
  <si>
    <t xml:space="preserve">    Cutoff Flags</t>
  </si>
  <si>
    <t xml:space="preserve">  Set 1</t>
  </si>
  <si>
    <t xml:space="preserve">  Set 2</t>
  </si>
  <si>
    <t xml:space="preserve">  Set 3</t>
  </si>
  <si>
    <t>CUTOFF SUMS</t>
  </si>
  <si>
    <t>Vsh-h</t>
  </si>
  <si>
    <t>Phi-h</t>
  </si>
  <si>
    <t>Hyd-h</t>
  </si>
  <si>
    <t>Perm-h</t>
  </si>
  <si>
    <t>Tar-h</t>
  </si>
  <si>
    <t>Net-h</t>
  </si>
  <si>
    <t>SUM kh</t>
  </si>
  <si>
    <t xml:space="preserve"> SW vs CORP</t>
  </si>
  <si>
    <t>KMAX vs CORP</t>
  </si>
  <si>
    <t>*</t>
  </si>
  <si>
    <t xml:space="preserve">      DO NOT EDIT THIS AREA</t>
  </si>
  <si>
    <t>c. E.R. Crain, P.Eng. 2018</t>
  </si>
  <si>
    <t xml:space="preserve">                      CORE ANALYSIS SUMS AND AVERAGES</t>
  </si>
  <si>
    <t>Read Terms of Use</t>
  </si>
  <si>
    <t>Well Name</t>
  </si>
  <si>
    <t>PCP Beaverlodge 11-36</t>
  </si>
  <si>
    <t>Field / Zone</t>
  </si>
  <si>
    <t>Beaverlodge / Halfway</t>
  </si>
  <si>
    <t xml:space="preserve"> 2018-09-27</t>
  </si>
  <si>
    <t xml:space="preserve">Analyst  </t>
  </si>
  <si>
    <t xml:space="preserve">    </t>
  </si>
  <si>
    <t xml:space="preserve">Date  </t>
  </si>
  <si>
    <t>PROGRAM DOCUMENTATION</t>
  </si>
  <si>
    <t>PARAMETERS</t>
  </si>
  <si>
    <t xml:space="preserve">  CUTOFFS</t>
  </si>
  <si>
    <t>(MorE)</t>
  </si>
  <si>
    <t xml:space="preserve"> META/CORE RAW DATA</t>
  </si>
  <si>
    <t>GRN_DN</t>
  </si>
  <si>
    <t xml:space="preserve">  SUMMATION INTERVAL</t>
  </si>
  <si>
    <t>TO</t>
  </si>
  <si>
    <t xml:space="preserve"> md  </t>
  </si>
  <si>
    <t xml:space="preserve">               META/LOG "CORE"</t>
  </si>
  <si>
    <t>MORE===&gt;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</si>
</sst>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>
    <font>
      <sz val="12"/>
      <name val="Arial"/>
    </font>
    <font>
      <sz val="10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sz val="10"/>
      <name val="COUR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2"/>
      <color indexed="9"/>
      <name val="COUR"/>
    </font>
    <font>
      <u/>
      <sz val="10"/>
      <color theme="10"/>
      <name val="Arial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15"/>
      </patternFill>
    </fill>
    <fill>
      <patternFill patternType="solid">
        <fgColor indexed="11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indexed="8"/>
      </left>
      <right/>
      <top style="thick">
        <color theme="3"/>
      </top>
      <bottom style="thick">
        <color theme="3"/>
      </bottom>
      <diagonal/>
    </border>
    <border>
      <left style="thick">
        <color indexed="8"/>
      </left>
      <right/>
      <top style="thick">
        <color theme="1"/>
      </top>
      <bottom style="thick">
        <color theme="1"/>
      </bottom>
      <diagonal/>
    </border>
    <border>
      <left style="thick">
        <color indexed="8"/>
      </left>
      <right/>
      <top/>
      <bottom style="thick">
        <color auto="1"/>
      </bottom>
      <diagonal/>
    </border>
    <border>
      <left style="thick">
        <color indexed="8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8"/>
      </left>
      <right/>
      <top style="thick">
        <color auto="1"/>
      </top>
      <bottom/>
      <diagonal/>
    </border>
    <border>
      <left style="thick">
        <color indexed="8"/>
      </left>
      <right/>
      <top style="medium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theme="1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2">
    <xf numFmtId="0" fontId="0" fillId="0" borderId="0" xfId="0"/>
    <xf numFmtId="2" fontId="1" fillId="0" borderId="0" xfId="0" applyNumberFormat="1" applyFont="1" applyAlignment="1"/>
    <xf numFmtId="2" fontId="2" fillId="2" borderId="2" xfId="0" applyNumberFormat="1" applyFont="1" applyFill="1" applyBorder="1" applyAlignment="1"/>
    <xf numFmtId="2" fontId="3" fillId="3" borderId="3" xfId="0" applyNumberFormat="1" applyFont="1" applyFill="1" applyBorder="1" applyAlignment="1">
      <alignment horizontal="right"/>
    </xf>
    <xf numFmtId="2" fontId="4" fillId="3" borderId="0" xfId="0" applyNumberFormat="1" applyFont="1" applyFill="1" applyAlignment="1"/>
    <xf numFmtId="2" fontId="4" fillId="4" borderId="3" xfId="0" applyNumberFormat="1" applyFont="1" applyFill="1" applyBorder="1" applyAlignment="1">
      <alignment horizontal="right"/>
    </xf>
    <xf numFmtId="2" fontId="3" fillId="4" borderId="0" xfId="0" applyNumberFormat="1" applyFont="1" applyFill="1" applyAlignment="1"/>
    <xf numFmtId="2" fontId="5" fillId="0" borderId="0" xfId="0" applyNumberFormat="1" applyFont="1" applyAlignment="1"/>
    <xf numFmtId="2" fontId="6" fillId="2" borderId="0" xfId="0" applyNumberFormat="1" applyFont="1" applyFill="1" applyAlignment="1"/>
    <xf numFmtId="2" fontId="3" fillId="3" borderId="0" xfId="0" applyNumberFormat="1" applyFont="1" applyFill="1" applyAlignment="1"/>
    <xf numFmtId="2" fontId="3" fillId="4" borderId="3" xfId="0" applyNumberFormat="1" applyFont="1" applyFill="1" applyBorder="1" applyAlignment="1"/>
    <xf numFmtId="2" fontId="7" fillId="2" borderId="0" xfId="0" applyNumberFormat="1" applyFont="1" applyFill="1" applyAlignment="1"/>
    <xf numFmtId="2" fontId="8" fillId="3" borderId="0" xfId="0" applyNumberFormat="1" applyFont="1" applyFill="1" applyAlignment="1"/>
    <xf numFmtId="2" fontId="8" fillId="3" borderId="0" xfId="0" applyNumberFormat="1" applyFont="1" applyFill="1" applyAlignment="1">
      <alignment horizontal="right"/>
    </xf>
    <xf numFmtId="2" fontId="8" fillId="4" borderId="3" xfId="0" applyNumberFormat="1" applyFont="1" applyFill="1" applyBorder="1" applyAlignment="1">
      <alignment horizontal="right"/>
    </xf>
    <xf numFmtId="2" fontId="8" fillId="4" borderId="0" xfId="0" applyNumberFormat="1" applyFont="1" applyFill="1" applyAlignment="1"/>
    <xf numFmtId="2" fontId="3" fillId="5" borderId="1" xfId="0" applyNumberFormat="1" applyFont="1" applyFill="1" applyBorder="1" applyAlignment="1"/>
    <xf numFmtId="2" fontId="3" fillId="5" borderId="2" xfId="0" applyNumberFormat="1" applyFont="1" applyFill="1" applyBorder="1" applyAlignment="1"/>
    <xf numFmtId="2" fontId="9" fillId="4" borderId="2" xfId="0" applyNumberFormat="1" applyFont="1" applyFill="1" applyBorder="1" applyAlignment="1"/>
    <xf numFmtId="2" fontId="8" fillId="5" borderId="2" xfId="0" applyNumberFormat="1" applyFont="1" applyFill="1" applyBorder="1" applyAlignment="1"/>
    <xf numFmtId="2" fontId="9" fillId="4" borderId="3" xfId="0" applyNumberFormat="1" applyFont="1" applyFill="1" applyBorder="1" applyAlignment="1"/>
    <xf numFmtId="2" fontId="9" fillId="4" borderId="0" xfId="0" applyNumberFormat="1" applyFont="1" applyFill="1" applyAlignment="1"/>
    <xf numFmtId="2" fontId="9" fillId="6" borderId="1" xfId="0" applyNumberFormat="1" applyFont="1" applyFill="1" applyBorder="1" applyAlignment="1" applyProtection="1">
      <protection locked="0"/>
    </xf>
    <xf numFmtId="2" fontId="5" fillId="0" borderId="2" xfId="0" applyNumberFormat="1" applyFont="1" applyBorder="1" applyAlignment="1"/>
    <xf numFmtId="2" fontId="8" fillId="5" borderId="0" xfId="0" applyNumberFormat="1" applyFont="1" applyFill="1" applyAlignment="1"/>
    <xf numFmtId="164" fontId="8" fillId="5" borderId="0" xfId="0" applyNumberFormat="1" applyFont="1" applyFill="1" applyAlignment="1"/>
    <xf numFmtId="1" fontId="8" fillId="5" borderId="0" xfId="0" applyNumberFormat="1" applyFont="1" applyFill="1" applyAlignment="1"/>
    <xf numFmtId="0" fontId="3" fillId="5" borderId="2" xfId="0" applyNumberFormat="1" applyFont="1" applyFill="1" applyBorder="1" applyAlignment="1">
      <alignment horizontal="centerContinuous"/>
    </xf>
    <xf numFmtId="2" fontId="9" fillId="4" borderId="0" xfId="0" applyNumberFormat="1" applyFont="1" applyFill="1" applyAlignment="1">
      <alignment horizontal="right"/>
    </xf>
    <xf numFmtId="1" fontId="9" fillId="6" borderId="1" xfId="0" applyNumberFormat="1" applyFont="1" applyFill="1" applyBorder="1" applyAlignment="1" applyProtection="1">
      <protection locked="0"/>
    </xf>
    <xf numFmtId="2" fontId="8" fillId="5" borderId="0" xfId="0" applyNumberFormat="1" applyFont="1" applyFill="1" applyAlignment="1">
      <alignment horizontal="right"/>
    </xf>
    <xf numFmtId="2" fontId="5" fillId="0" borderId="3" xfId="0" applyNumberFormat="1" applyFont="1" applyBorder="1" applyAlignment="1"/>
    <xf numFmtId="165" fontId="9" fillId="6" borderId="1" xfId="0" applyNumberFormat="1" applyFont="1" applyFill="1" applyBorder="1" applyAlignment="1" applyProtection="1">
      <protection locked="0"/>
    </xf>
    <xf numFmtId="2" fontId="8" fillId="5" borderId="0" xfId="0" applyNumberFormat="1" applyFont="1" applyFill="1" applyAlignment="1" applyProtection="1">
      <protection locked="0"/>
    </xf>
    <xf numFmtId="1" fontId="3" fillId="5" borderId="2" xfId="0" applyNumberFormat="1" applyFont="1" applyFill="1" applyBorder="1" applyAlignment="1"/>
    <xf numFmtId="2" fontId="3" fillId="5" borderId="3" xfId="0" applyNumberFormat="1" applyFont="1" applyFill="1" applyBorder="1" applyAlignment="1"/>
    <xf numFmtId="2" fontId="3" fillId="5" borderId="0" xfId="0" applyNumberFormat="1" applyFont="1" applyFill="1" applyAlignment="1"/>
    <xf numFmtId="2" fontId="3" fillId="5" borderId="0" xfId="0" applyNumberFormat="1" applyFont="1" applyFill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1" fontId="3" fillId="5" borderId="0" xfId="0" applyNumberFormat="1" applyFont="1" applyFill="1" applyAlignment="1">
      <alignment horizontal="right"/>
    </xf>
    <xf numFmtId="2" fontId="3" fillId="7" borderId="1" xfId="0" applyNumberFormat="1" applyFont="1" applyFill="1" applyBorder="1" applyAlignment="1"/>
    <xf numFmtId="2" fontId="3" fillId="7" borderId="2" xfId="0" applyNumberFormat="1" applyFont="1" applyFill="1" applyBorder="1" applyAlignment="1"/>
    <xf numFmtId="164" fontId="3" fillId="6" borderId="2" xfId="0" applyNumberFormat="1" applyFont="1" applyFill="1" applyBorder="1" applyAlignment="1" applyProtection="1">
      <protection locked="0"/>
    </xf>
    <xf numFmtId="164" fontId="3" fillId="6" borderId="2" xfId="0" applyNumberFormat="1" applyFont="1" applyFill="1" applyBorder="1" applyAlignment="1"/>
    <xf numFmtId="165" fontId="3" fillId="6" borderId="2" xfId="0" applyNumberFormat="1" applyFont="1" applyFill="1" applyBorder="1" applyAlignment="1"/>
    <xf numFmtId="1" fontId="3" fillId="6" borderId="2" xfId="0" applyNumberFormat="1" applyFont="1" applyFill="1" applyBorder="1" applyAlignment="1" applyProtection="1">
      <protection locked="0"/>
    </xf>
    <xf numFmtId="2" fontId="3" fillId="6" borderId="2" xfId="0" applyNumberFormat="1" applyFont="1" applyFill="1" applyBorder="1" applyAlignment="1" applyProtection="1">
      <protection locked="0"/>
    </xf>
    <xf numFmtId="164" fontId="3" fillId="6" borderId="1" xfId="0" applyNumberFormat="1" applyFont="1" applyFill="1" applyBorder="1" applyAlignment="1"/>
    <xf numFmtId="2" fontId="3" fillId="6" borderId="2" xfId="0" applyNumberFormat="1" applyFont="1" applyFill="1" applyBorder="1" applyAlignment="1"/>
    <xf numFmtId="1" fontId="3" fillId="6" borderId="2" xfId="0" applyNumberFormat="1" applyFont="1" applyFill="1" applyBorder="1" applyAlignment="1"/>
    <xf numFmtId="2" fontId="3" fillId="4" borderId="1" xfId="0" applyNumberFormat="1" applyFont="1" applyFill="1" applyBorder="1" applyAlignment="1"/>
    <xf numFmtId="2" fontId="3" fillId="4" borderId="2" xfId="0" applyNumberFormat="1" applyFont="1" applyFill="1" applyBorder="1" applyAlignment="1"/>
    <xf numFmtId="164" fontId="3" fillId="6" borderId="0" xfId="0" applyNumberFormat="1" applyFont="1" applyFill="1" applyAlignment="1" applyProtection="1">
      <protection locked="0"/>
    </xf>
    <xf numFmtId="165" fontId="3" fillId="6" borderId="0" xfId="0" applyNumberFormat="1" applyFont="1" applyFill="1" applyAlignment="1"/>
    <xf numFmtId="1" fontId="3" fillId="6" borderId="0" xfId="0" applyNumberFormat="1" applyFont="1" applyFill="1" applyAlignment="1" applyProtection="1">
      <protection locked="0"/>
    </xf>
    <xf numFmtId="2" fontId="3" fillId="6" borderId="0" xfId="0" applyNumberFormat="1" applyFont="1" applyFill="1" applyAlignment="1" applyProtection="1">
      <protection locked="0"/>
    </xf>
    <xf numFmtId="164" fontId="3" fillId="6" borderId="3" xfId="0" applyNumberFormat="1" applyFont="1" applyFill="1" applyBorder="1" applyAlignment="1"/>
    <xf numFmtId="2" fontId="3" fillId="6" borderId="0" xfId="0" applyNumberFormat="1" applyFont="1" applyFill="1" applyAlignment="1"/>
    <xf numFmtId="164" fontId="3" fillId="6" borderId="0" xfId="0" applyNumberFormat="1" applyFont="1" applyFill="1" applyAlignment="1"/>
    <xf numFmtId="1" fontId="3" fillId="6" borderId="0" xfId="0" applyNumberFormat="1" applyFont="1" applyFill="1" applyAlignment="1"/>
    <xf numFmtId="2" fontId="10" fillId="7" borderId="2" xfId="0" applyNumberFormat="1" applyFont="1" applyFill="1" applyBorder="1" applyAlignment="1" applyProtection="1">
      <protection locked="0"/>
    </xf>
    <xf numFmtId="2" fontId="3" fillId="8" borderId="2" xfId="0" applyNumberFormat="1" applyFont="1" applyFill="1" applyBorder="1" applyAlignment="1"/>
    <xf numFmtId="2" fontId="3" fillId="8" borderId="1" xfId="0" applyNumberFormat="1" applyFont="1" applyFill="1" applyBorder="1" applyAlignment="1"/>
    <xf numFmtId="2" fontId="10" fillId="7" borderId="3" xfId="0" applyNumberFormat="1" applyFont="1" applyFill="1" applyBorder="1" applyAlignment="1" applyProtection="1">
      <protection locked="0"/>
    </xf>
    <xf numFmtId="2" fontId="10" fillId="7" borderId="0" xfId="0" applyNumberFormat="1" applyFont="1" applyFill="1" applyAlignment="1" applyProtection="1">
      <protection locked="0"/>
    </xf>
    <xf numFmtId="2" fontId="3" fillId="6" borderId="1" xfId="0" applyNumberFormat="1" applyFont="1" applyFill="1" applyBorder="1" applyAlignment="1"/>
    <xf numFmtId="2" fontId="3" fillId="6" borderId="3" xfId="0" applyNumberFormat="1" applyFont="1" applyFill="1" applyBorder="1" applyAlignment="1"/>
    <xf numFmtId="2" fontId="10" fillId="7" borderId="4" xfId="0" applyNumberFormat="1" applyFont="1" applyFill="1" applyBorder="1" applyAlignment="1" applyProtection="1">
      <protection locked="0"/>
    </xf>
    <xf numFmtId="2" fontId="10" fillId="7" borderId="5" xfId="0" applyNumberFormat="1" applyFont="1" applyFill="1" applyBorder="1" applyAlignment="1" applyProtection="1">
      <protection locked="0"/>
    </xf>
    <xf numFmtId="2" fontId="3" fillId="4" borderId="6" xfId="0" applyNumberFormat="1" applyFont="1" applyFill="1" applyBorder="1" applyAlignment="1"/>
    <xf numFmtId="164" fontId="3" fillId="6" borderId="0" xfId="0" applyNumberFormat="1" applyFont="1" applyFill="1" applyBorder="1" applyAlignment="1"/>
    <xf numFmtId="0" fontId="12" fillId="0" borderId="7" xfId="0" applyNumberFormat="1" applyFont="1" applyBorder="1" applyAlignment="1"/>
    <xf numFmtId="0" fontId="12" fillId="0" borderId="0" xfId="0" applyNumberFormat="1" applyFont="1" applyAlignment="1"/>
    <xf numFmtId="0" fontId="12" fillId="0" borderId="9" xfId="0" applyNumberFormat="1" applyFont="1" applyBorder="1" applyAlignment="1"/>
    <xf numFmtId="0" fontId="12" fillId="0" borderId="10" xfId="0" applyNumberFormat="1" applyFont="1" applyBorder="1" applyAlignment="1"/>
    <xf numFmtId="15" fontId="12" fillId="0" borderId="9" xfId="0" applyNumberFormat="1" applyFont="1" applyBorder="1" applyAlignment="1"/>
    <xf numFmtId="0" fontId="12" fillId="0" borderId="0" xfId="0" applyNumberFormat="1" applyFont="1" applyAlignment="1">
      <alignment horizontal="right"/>
    </xf>
    <xf numFmtId="0" fontId="12" fillId="0" borderId="0" xfId="0" applyNumberFormat="1" applyFont="1" applyBorder="1" applyAlignment="1"/>
    <xf numFmtId="0" fontId="12" fillId="0" borderId="11" xfId="0" applyNumberFormat="1" applyFont="1" applyBorder="1" applyAlignment="1"/>
    <xf numFmtId="2" fontId="9" fillId="4" borderId="0" xfId="0" applyNumberFormat="1" applyFont="1" applyFill="1" applyAlignment="1">
      <alignment horizontal="left"/>
    </xf>
    <xf numFmtId="2" fontId="3" fillId="5" borderId="11" xfId="0" applyNumberFormat="1" applyFont="1" applyFill="1" applyBorder="1" applyAlignment="1"/>
    <xf numFmtId="2" fontId="9" fillId="4" borderId="0" xfId="0" applyNumberFormat="1" applyFont="1" applyFill="1" applyBorder="1" applyAlignment="1"/>
    <xf numFmtId="2" fontId="9" fillId="4" borderId="12" xfId="0" applyNumberFormat="1" applyFont="1" applyFill="1" applyBorder="1" applyAlignment="1"/>
    <xf numFmtId="2" fontId="9" fillId="4" borderId="0" xfId="0" applyNumberFormat="1" applyFont="1" applyFill="1" applyBorder="1" applyAlignment="1">
      <alignment horizontal="center"/>
    </xf>
    <xf numFmtId="2" fontId="12" fillId="5" borderId="0" xfId="0" applyNumberFormat="1" applyFont="1" applyFill="1" applyAlignment="1"/>
    <xf numFmtId="2" fontId="12" fillId="3" borderId="0" xfId="0" applyNumberFormat="1" applyFont="1" applyFill="1" applyAlignment="1">
      <alignment horizontal="right"/>
    </xf>
    <xf numFmtId="2" fontId="11" fillId="5" borderId="8" xfId="1" applyNumberFormat="1" applyFill="1" applyBorder="1" applyAlignment="1">
      <alignment horizontal="center"/>
    </xf>
    <xf numFmtId="2" fontId="10" fillId="7" borderId="0" xfId="0" applyNumberFormat="1" applyFont="1" applyFill="1" applyBorder="1" applyAlignment="1" applyProtection="1">
      <protection locked="0"/>
    </xf>
    <xf numFmtId="2" fontId="3" fillId="5" borderId="13" xfId="0" applyNumberFormat="1" applyFont="1" applyFill="1" applyBorder="1" applyAlignment="1"/>
    <xf numFmtId="2" fontId="3" fillId="5" borderId="14" xfId="0" applyNumberFormat="1" applyFont="1" applyFill="1" applyBorder="1" applyAlignment="1"/>
    <xf numFmtId="2" fontId="10" fillId="7" borderId="11" xfId="0" applyNumberFormat="1" applyFont="1" applyFill="1" applyBorder="1" applyAlignment="1" applyProtection="1">
      <protection locked="0"/>
    </xf>
    <xf numFmtId="2" fontId="2" fillId="2" borderId="9" xfId="0" applyNumberFormat="1" applyFont="1" applyFill="1" applyBorder="1" applyAlignment="1"/>
    <xf numFmtId="2" fontId="6" fillId="2" borderId="7" xfId="0" applyNumberFormat="1" applyFont="1" applyFill="1" applyBorder="1" applyAlignment="1"/>
    <xf numFmtId="2" fontId="7" fillId="2" borderId="7" xfId="0" applyNumberFormat="1" applyFont="1" applyFill="1" applyBorder="1" applyAlignment="1"/>
    <xf numFmtId="2" fontId="9" fillId="5" borderId="15" xfId="0" applyNumberFormat="1" applyFont="1" applyFill="1" applyBorder="1" applyAlignment="1"/>
    <xf numFmtId="2" fontId="9" fillId="4" borderId="7" xfId="0" applyNumberFormat="1" applyFont="1" applyFill="1" applyBorder="1" applyAlignment="1"/>
    <xf numFmtId="2" fontId="1" fillId="0" borderId="7" xfId="0" applyNumberFormat="1" applyFont="1" applyBorder="1" applyAlignment="1"/>
    <xf numFmtId="2" fontId="3" fillId="5" borderId="16" xfId="0" applyNumberFormat="1" applyFont="1" applyFill="1" applyBorder="1" applyAlignment="1"/>
    <xf numFmtId="2" fontId="9" fillId="3" borderId="7" xfId="0" applyNumberFormat="1" applyFont="1" applyFill="1" applyBorder="1" applyAlignment="1">
      <alignment horizontal="left"/>
    </xf>
    <xf numFmtId="2" fontId="5" fillId="0" borderId="7" xfId="0" applyNumberFormat="1" applyFont="1" applyBorder="1" applyAlignment="1"/>
    <xf numFmtId="2" fontId="9" fillId="4" borderId="7" xfId="0" applyNumberFormat="1" applyFont="1" applyFill="1" applyBorder="1" applyAlignment="1">
      <alignment horizontal="left"/>
    </xf>
    <xf numFmtId="2" fontId="9" fillId="4" borderId="17" xfId="0" applyNumberFormat="1" applyFont="1" applyFill="1" applyBorder="1" applyAlignment="1"/>
    <xf numFmtId="164" fontId="9" fillId="6" borderId="18" xfId="0" applyNumberFormat="1" applyFont="1" applyFill="1" applyBorder="1" applyAlignment="1" applyProtection="1">
      <protection locked="0"/>
    </xf>
    <xf numFmtId="2" fontId="9" fillId="4" borderId="19" xfId="0" applyNumberFormat="1" applyFont="1" applyFill="1" applyBorder="1" applyAlignment="1"/>
    <xf numFmtId="2" fontId="9" fillId="4" borderId="7" xfId="0" applyNumberFormat="1" applyFont="1" applyFill="1" applyBorder="1" applyAlignment="1" applyProtection="1">
      <protection locked="0"/>
    </xf>
    <xf numFmtId="2" fontId="3" fillId="5" borderId="7" xfId="0" applyNumberFormat="1" applyFont="1" applyFill="1" applyBorder="1" applyAlignment="1"/>
    <xf numFmtId="2" fontId="3" fillId="7" borderId="20" xfId="0" applyNumberFormat="1" applyFont="1" applyFill="1" applyBorder="1" applyAlignment="1"/>
    <xf numFmtId="164" fontId="3" fillId="6" borderId="20" xfId="0" applyNumberFormat="1" applyFont="1" applyFill="1" applyBorder="1" applyAlignment="1" applyProtection="1">
      <protection locked="0"/>
    </xf>
    <xf numFmtId="164" fontId="3" fillId="6" borderId="7" xfId="0" applyNumberFormat="1" applyFont="1" applyFill="1" applyBorder="1" applyAlignment="1" applyProtection="1">
      <protection locked="0"/>
    </xf>
    <xf numFmtId="164" fontId="3" fillId="6" borderId="21" xfId="0" applyNumberFormat="1" applyFont="1" applyFill="1" applyBorder="1" applyAlignment="1" applyProtection="1">
      <protection locked="0"/>
    </xf>
    <xf numFmtId="2" fontId="3" fillId="3" borderId="22" xfId="0" applyNumberFormat="1" applyFont="1" applyFill="1" applyBorder="1" applyAlignment="1">
      <alignment horizontal="right"/>
    </xf>
    <xf numFmtId="2" fontId="8" fillId="5" borderId="22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CORE DATA</a:t>
            </a:r>
            <a:br>
              <a:rPr lang="en-CA"/>
            </a:br>
            <a:r>
              <a:rPr lang="en-CA"/>
              <a:t>CROSSPLOT</a:t>
            </a:r>
          </a:p>
        </c:rich>
      </c:tx>
      <c:layout>
        <c:manualLayout>
          <c:xMode val="edge"/>
          <c:yMode val="edge"/>
          <c:x val="0.20963172804532579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46175637393768"/>
          <c:y val="0.17794529768096431"/>
          <c:w val="0.7025495750708215"/>
          <c:h val="0.636593036774154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power"/>
            <c:dispRSqr val="0"/>
            <c:dispEq val="0"/>
          </c:trendline>
          <c:xVal>
            <c:numRef>
              <c:f>A!$AT$39:$AT$45</c:f>
              <c:numCache>
                <c:formatCode>0.00</c:formatCode>
                <c:ptCount val="7"/>
                <c:pt idx="0">
                  <c:v>1</c:v>
                </c:pt>
                <c:pt idx="1">
                  <c:v>0.63603493325963445</c:v>
                </c:pt>
                <c:pt idx="2">
                  <c:v>0.25453736105200875</c:v>
                </c:pt>
                <c:pt idx="3">
                  <c:v>0.20960273546660993</c:v>
                </c:pt>
                <c:pt idx="4">
                  <c:v>0.16646204481570426</c:v>
                </c:pt>
                <c:pt idx="5">
                  <c:v>0.18701430640381431</c:v>
                </c:pt>
                <c:pt idx="6">
                  <c:v>0.24864230518572092</c:v>
                </c:pt>
              </c:numCache>
            </c:numRef>
          </c:xVal>
          <c:yVal>
            <c:numRef>
              <c:f>A!$AU$39:$AU$45</c:f>
              <c:numCache>
                <c:formatCode>0.00</c:formatCode>
                <c:ptCount val="7"/>
                <c:pt idx="0">
                  <c:v>9.8719414706669676E-3</c:v>
                </c:pt>
                <c:pt idx="1">
                  <c:v>4.7167220589995111E-2</c:v>
                </c:pt>
                <c:pt idx="2">
                  <c:v>0.1178608903463496</c:v>
                </c:pt>
                <c:pt idx="3">
                  <c:v>0.14312790304580281</c:v>
                </c:pt>
                <c:pt idx="4">
                  <c:v>0.180221263250815</c:v>
                </c:pt>
                <c:pt idx="5">
                  <c:v>0.16041553492288399</c:v>
                </c:pt>
                <c:pt idx="6">
                  <c:v>0.1206552520400412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78496"/>
        <c:axId val="204380416"/>
      </c:scatterChart>
      <c:valAx>
        <c:axId val="204378496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Water Saturation</a:t>
                </a:r>
              </a:p>
            </c:rich>
          </c:tx>
          <c:layout>
            <c:manualLayout>
              <c:xMode val="edge"/>
              <c:yMode val="edge"/>
              <c:x val="0.39376770538243627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80416"/>
        <c:crosses val="autoZero"/>
        <c:crossBetween val="midCat"/>
        <c:majorUnit val="0.2"/>
        <c:minorUnit val="0.05"/>
      </c:valAx>
      <c:valAx>
        <c:axId val="204380416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Porosity</a:t>
                </a:r>
              </a:p>
            </c:rich>
          </c:tx>
          <c:layout>
            <c:manualLayout>
              <c:xMode val="edge"/>
              <c:yMode val="edge"/>
              <c:x val="4.5325779036827198E-2"/>
              <c:y val="0.355890595361928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78496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CORE DATA</a:t>
            </a:r>
            <a:br>
              <a:rPr lang="en-CA"/>
            </a:br>
            <a:r>
              <a:rPr lang="en-CA"/>
              <a:t>CROSSPLOT</a:t>
            </a:r>
          </a:p>
        </c:rich>
      </c:tx>
      <c:layout>
        <c:manualLayout>
          <c:xMode val="edge"/>
          <c:yMode val="edge"/>
          <c:x val="0.21503194575223897"/>
          <c:y val="3.258150052785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816932791775957"/>
          <c:y val="0.17794529768096431"/>
          <c:w val="0.68732488903621403"/>
          <c:h val="0.636593036774154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A!$AV$39:$AV$45</c:f>
              <c:numCache>
                <c:formatCode>0.00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4.1372830197390744</c:v>
                </c:pt>
                <c:pt idx="3">
                  <c:v>18.48263723951327</c:v>
                </c:pt>
                <c:pt idx="4">
                  <c:v>123.65330446522979</c:v>
                </c:pt>
                <c:pt idx="5">
                  <c:v>48.722423364518519</c:v>
                </c:pt>
                <c:pt idx="6">
                  <c:v>4.9903078756751666</c:v>
                </c:pt>
              </c:numCache>
            </c:numRef>
          </c:xVal>
          <c:yVal>
            <c:numRef>
              <c:f>A!$AW$39:$AW$45</c:f>
              <c:numCache>
                <c:formatCode>0.00</c:formatCode>
                <c:ptCount val="7"/>
                <c:pt idx="0">
                  <c:v>9.8719414706669676E-3</c:v>
                </c:pt>
                <c:pt idx="1">
                  <c:v>4.7167220589995111E-2</c:v>
                </c:pt>
                <c:pt idx="2">
                  <c:v>0.1178608903463496</c:v>
                </c:pt>
                <c:pt idx="3">
                  <c:v>0.14312790304580281</c:v>
                </c:pt>
                <c:pt idx="4">
                  <c:v>0.180221263250815</c:v>
                </c:pt>
                <c:pt idx="5">
                  <c:v>0.16041553492288399</c:v>
                </c:pt>
                <c:pt idx="6">
                  <c:v>0.1206552520400412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016640"/>
        <c:axId val="204047488"/>
      </c:scatterChart>
      <c:valAx>
        <c:axId val="204016640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Permeability - md</a:t>
                </a:r>
              </a:p>
            </c:rich>
          </c:tx>
          <c:layout>
            <c:manualLayout>
              <c:xMode val="edge"/>
              <c:yMode val="edge"/>
              <c:x val="0.3211272022546246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047488"/>
        <c:crosses val="autoZero"/>
        <c:crossBetween val="midCat"/>
        <c:minorUnit val="1"/>
      </c:valAx>
      <c:valAx>
        <c:axId val="204047488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Porosity</a:t>
                </a:r>
              </a:p>
            </c:rich>
          </c:tx>
          <c:layout>
            <c:manualLayout>
              <c:xMode val="edge"/>
              <c:yMode val="edge"/>
              <c:x val="4.5070484526964855E-2"/>
              <c:y val="0.355890595361928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016640"/>
        <c:crossesAt val="0.01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4</xdr:col>
      <xdr:colOff>28575</xdr:colOff>
      <xdr:row>65</xdr:row>
      <xdr:rowOff>1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46</xdr:row>
      <xdr:rowOff>0</xdr:rowOff>
    </xdr:from>
    <xdr:to>
      <xdr:col>8</xdr:col>
      <xdr:colOff>723900</xdr:colOff>
      <xdr:row>65</xdr:row>
      <xdr:rowOff>1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9"/>
  <sheetViews>
    <sheetView tabSelected="1" defaultGridColor="0" colorId="15" zoomScale="124" zoomScaleNormal="124" zoomScaleSheetLayoutView="25" workbookViewId="0"/>
  </sheetViews>
  <sheetFormatPr defaultColWidth="7.6640625" defaultRowHeight="12.75"/>
  <cols>
    <col min="1" max="2" width="8.6640625" style="1" customWidth="1"/>
    <col min="3" max="5" width="10.77734375" style="1" bestFit="1" customWidth="1"/>
    <col min="6" max="6" width="11.21875" style="1" bestFit="1" customWidth="1"/>
    <col min="7" max="8" width="9.88671875" style="1" bestFit="1" customWidth="1"/>
    <col min="9" max="10" width="9.44140625" style="1" bestFit="1" customWidth="1"/>
    <col min="11" max="11" width="7.6640625" style="1"/>
    <col min="12" max="12" width="9.6640625" style="1" customWidth="1"/>
    <col min="13" max="14" width="9.44140625" style="1" bestFit="1" customWidth="1"/>
    <col min="15" max="15" width="11.21875" style="1" bestFit="1" customWidth="1"/>
    <col min="16" max="16" width="9.44140625" style="1" bestFit="1" customWidth="1"/>
    <col min="17" max="17" width="10.77734375" style="1" bestFit="1" customWidth="1"/>
    <col min="18" max="18" width="8.6640625" style="1" customWidth="1"/>
    <col min="19" max="19" width="11.21875" style="1" bestFit="1" customWidth="1"/>
    <col min="20" max="20" width="10.77734375" style="1" bestFit="1" customWidth="1"/>
    <col min="21" max="21" width="9" style="1" bestFit="1" customWidth="1"/>
    <col min="22" max="22" width="9.88671875" style="1" bestFit="1" customWidth="1"/>
    <col min="23" max="23" width="6.6640625" style="1" customWidth="1"/>
    <col min="24" max="24" width="8.6640625" style="1" customWidth="1"/>
    <col min="25" max="25" width="5.6640625" style="1" customWidth="1"/>
    <col min="26" max="26" width="9.44140625" style="1" customWidth="1"/>
    <col min="27" max="27" width="8.6640625" style="1" customWidth="1"/>
    <col min="28" max="28" width="9.88671875" style="1" bestFit="1" customWidth="1"/>
    <col min="29" max="29" width="10.77734375" style="1" bestFit="1" customWidth="1"/>
    <col min="30" max="30" width="8.6640625" style="1" customWidth="1"/>
    <col min="31" max="32" width="9.44140625" style="1" bestFit="1" customWidth="1"/>
    <col min="33" max="33" width="8.6640625" style="1" customWidth="1"/>
    <col min="34" max="34" width="12.109375" style="1" bestFit="1" customWidth="1"/>
    <col min="35" max="49" width="7.6640625" style="1"/>
    <col min="50" max="50" width="2.6640625" style="1" customWidth="1"/>
    <col min="51" max="16384" width="7.6640625" style="1"/>
  </cols>
  <sheetData>
    <row r="1" spans="1:51" ht="30.75" thickTop="1">
      <c r="A1" s="91" t="s">
        <v>138</v>
      </c>
      <c r="B1" s="2"/>
      <c r="C1" s="2"/>
      <c r="D1" s="2"/>
      <c r="E1" s="2"/>
      <c r="F1" s="2"/>
      <c r="G1" s="2"/>
      <c r="H1" s="2"/>
      <c r="I1" s="2"/>
      <c r="J1" s="2"/>
      <c r="K1" s="110"/>
      <c r="L1" s="4"/>
      <c r="M1" s="3" t="s">
        <v>117</v>
      </c>
      <c r="N1" s="3"/>
      <c r="O1" s="4"/>
      <c r="P1" s="4"/>
      <c r="Q1" s="4"/>
      <c r="R1" s="4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</row>
    <row r="2" spans="1:51" ht="18">
      <c r="A2" s="92" t="s">
        <v>119</v>
      </c>
      <c r="B2" s="8"/>
      <c r="C2" s="8"/>
      <c r="D2" s="8"/>
      <c r="E2" s="8"/>
      <c r="F2" s="8"/>
      <c r="G2" s="8"/>
      <c r="H2" s="8"/>
      <c r="I2" s="8"/>
      <c r="J2" s="8"/>
      <c r="K2" s="110"/>
      <c r="L2" s="9"/>
      <c r="M2" s="9"/>
      <c r="N2" s="9"/>
      <c r="O2" s="9"/>
      <c r="P2" s="9"/>
      <c r="Q2" s="9"/>
      <c r="R2" s="9"/>
      <c r="S2" s="1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</row>
    <row r="3" spans="1:51" ht="18">
      <c r="A3" s="92" t="s">
        <v>0</v>
      </c>
      <c r="B3" s="8"/>
      <c r="C3" s="8"/>
      <c r="D3" s="8"/>
      <c r="E3" s="8"/>
      <c r="F3" s="21"/>
      <c r="G3" s="8"/>
      <c r="H3" s="8"/>
      <c r="I3" s="8"/>
      <c r="J3" s="8"/>
      <c r="K3" s="110"/>
      <c r="L3" s="9"/>
      <c r="M3" s="9"/>
      <c r="N3" s="9"/>
      <c r="O3" s="9"/>
      <c r="P3" s="9"/>
      <c r="Q3" s="9"/>
      <c r="R3" s="9"/>
      <c r="S3" s="10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</row>
    <row r="4" spans="1:51" ht="16.5" thickBot="1">
      <c r="A4" s="93"/>
      <c r="B4" s="11"/>
      <c r="C4" s="11"/>
      <c r="D4" s="11"/>
      <c r="E4" s="11"/>
      <c r="F4" s="11"/>
      <c r="G4" s="11"/>
      <c r="H4" s="11"/>
      <c r="I4" s="11"/>
      <c r="J4" s="11"/>
      <c r="K4" s="110"/>
      <c r="L4" s="12" t="s">
        <v>57</v>
      </c>
      <c r="M4" s="12"/>
      <c r="N4" s="12"/>
      <c r="O4" s="13" t="s">
        <v>19</v>
      </c>
      <c r="P4" s="13" t="s">
        <v>27</v>
      </c>
      <c r="Q4" s="13" t="s">
        <v>33</v>
      </c>
      <c r="R4" s="13" t="s">
        <v>84</v>
      </c>
      <c r="S4" s="14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7"/>
    </row>
    <row r="5" spans="1:51" ht="17.25" thickTop="1" thickBot="1">
      <c r="A5" s="94" t="s">
        <v>118</v>
      </c>
      <c r="B5" s="17"/>
      <c r="C5" s="17"/>
      <c r="D5" s="17"/>
      <c r="E5" s="17"/>
      <c r="F5" s="17"/>
      <c r="G5" s="17"/>
      <c r="H5" s="86" t="s">
        <v>120</v>
      </c>
      <c r="I5" s="86"/>
      <c r="J5" s="86"/>
      <c r="K5" s="110"/>
      <c r="L5" s="12" t="s">
        <v>58</v>
      </c>
      <c r="M5" s="12" t="s">
        <v>49</v>
      </c>
      <c r="N5" s="12" t="s">
        <v>62</v>
      </c>
      <c r="O5" s="13" t="s">
        <v>24</v>
      </c>
      <c r="P5" s="13" t="s">
        <v>24</v>
      </c>
      <c r="Q5" s="13" t="s">
        <v>24</v>
      </c>
      <c r="R5" s="85" t="s">
        <v>137</v>
      </c>
      <c r="S5" s="14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7"/>
    </row>
    <row r="6" spans="1:51" ht="15.95" customHeight="1" thickTop="1" thickBot="1">
      <c r="A6" s="95"/>
      <c r="B6" s="18"/>
      <c r="C6" s="18"/>
      <c r="D6" s="18"/>
      <c r="E6" s="18"/>
      <c r="F6" s="18"/>
      <c r="G6" s="18"/>
      <c r="H6" s="18"/>
      <c r="I6" s="18"/>
      <c r="J6" s="18"/>
      <c r="K6" s="110"/>
      <c r="L6" s="19">
        <f t="shared" ref="L6:L18" si="0">IF($A$23="M",N6,M6)</f>
        <v>1</v>
      </c>
      <c r="M6" s="19">
        <v>0</v>
      </c>
      <c r="N6" s="19">
        <v>1</v>
      </c>
      <c r="O6" s="19">
        <f>C29</f>
        <v>1</v>
      </c>
      <c r="P6" s="19">
        <f>E29</f>
        <v>0</v>
      </c>
      <c r="Q6" s="19">
        <f>G29</f>
        <v>1</v>
      </c>
      <c r="R6" s="19">
        <f>I29</f>
        <v>0</v>
      </c>
      <c r="S6" s="14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7"/>
    </row>
    <row r="7" spans="1:51" ht="17.25" thickTop="1" thickBot="1">
      <c r="A7" s="71" t="s">
        <v>121</v>
      </c>
      <c r="B7" s="72"/>
      <c r="C7" s="73" t="s">
        <v>122</v>
      </c>
      <c r="D7" s="74"/>
      <c r="E7" s="74"/>
      <c r="F7" s="78"/>
      <c r="G7" s="76" t="s">
        <v>126</v>
      </c>
      <c r="H7" s="73" t="s">
        <v>35</v>
      </c>
      <c r="I7" s="74"/>
      <c r="J7" s="78"/>
      <c r="K7" s="110"/>
      <c r="L7" s="24">
        <f t="shared" si="0"/>
        <v>21.5</v>
      </c>
      <c r="M7" s="24">
        <v>6.7</v>
      </c>
      <c r="N7" s="24">
        <v>21.5</v>
      </c>
      <c r="O7" s="19">
        <f t="shared" ref="O7:O8" si="1">C30</f>
        <v>0.4</v>
      </c>
      <c r="P7" s="19">
        <f t="shared" ref="P7:P8" si="2">E30</f>
        <v>0.08</v>
      </c>
      <c r="Q7" s="19">
        <f t="shared" ref="Q7:Q8" si="3">G30</f>
        <v>0.6</v>
      </c>
      <c r="R7" s="19">
        <f t="shared" ref="R7:R8" si="4">I30</f>
        <v>1</v>
      </c>
      <c r="S7" s="14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7"/>
    </row>
    <row r="8" spans="1:51" ht="17.25" thickTop="1" thickBot="1">
      <c r="A8" s="71" t="s">
        <v>123</v>
      </c>
      <c r="B8" s="72"/>
      <c r="C8" s="73" t="s">
        <v>124</v>
      </c>
      <c r="D8" s="74"/>
      <c r="E8" s="74"/>
      <c r="F8" s="78"/>
      <c r="G8" s="76" t="s">
        <v>128</v>
      </c>
      <c r="H8" s="75" t="s">
        <v>125</v>
      </c>
      <c r="I8" s="74"/>
      <c r="J8" s="78"/>
      <c r="K8" s="110"/>
      <c r="L8" s="24">
        <f t="shared" si="0"/>
        <v>1.8</v>
      </c>
      <c r="M8" s="24">
        <v>1</v>
      </c>
      <c r="N8" s="24">
        <v>1.8</v>
      </c>
      <c r="O8" s="19">
        <f t="shared" si="1"/>
        <v>0.25</v>
      </c>
      <c r="P8" s="19">
        <f t="shared" si="2"/>
        <v>0.1</v>
      </c>
      <c r="Q8" s="19">
        <f t="shared" si="3"/>
        <v>0.3</v>
      </c>
      <c r="R8" s="19">
        <f t="shared" si="4"/>
        <v>2</v>
      </c>
      <c r="S8" s="14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7"/>
    </row>
    <row r="9" spans="1:51" ht="17.25" thickTop="1" thickBot="1">
      <c r="A9" s="96"/>
      <c r="C9" s="74"/>
      <c r="D9" s="74"/>
      <c r="E9" s="74"/>
      <c r="F9" s="77"/>
      <c r="G9" s="72" t="s">
        <v>127</v>
      </c>
      <c r="H9" s="18"/>
      <c r="I9" s="74"/>
      <c r="J9" s="77"/>
      <c r="K9" s="110"/>
      <c r="L9" s="24">
        <f t="shared" si="0"/>
        <v>32</v>
      </c>
      <c r="M9" s="24">
        <v>0</v>
      </c>
      <c r="N9" s="24">
        <v>32</v>
      </c>
      <c r="O9" s="24">
        <f>D26</f>
        <v>2000</v>
      </c>
      <c r="P9" s="24" t="s">
        <v>78</v>
      </c>
      <c r="Q9" s="84">
        <f>F26</f>
        <v>3000</v>
      </c>
      <c r="R9" s="24" t="s">
        <v>85</v>
      </c>
      <c r="S9" s="14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7"/>
    </row>
    <row r="10" spans="1:51" ht="17.25" thickTop="1" thickBot="1">
      <c r="A10" s="97" t="s">
        <v>129</v>
      </c>
      <c r="B10" s="27"/>
      <c r="C10" s="17"/>
      <c r="D10" s="17"/>
      <c r="E10" s="17"/>
      <c r="F10" s="17"/>
      <c r="G10" s="17"/>
      <c r="H10" s="17"/>
      <c r="I10" s="17"/>
      <c r="J10" s="17"/>
      <c r="K10" s="111"/>
      <c r="L10" s="24">
        <f t="shared" si="0"/>
        <v>1</v>
      </c>
      <c r="M10" s="24">
        <v>0.159</v>
      </c>
      <c r="N10" s="24">
        <v>1</v>
      </c>
      <c r="O10" s="24">
        <v>39</v>
      </c>
      <c r="P10" s="24" t="s">
        <v>79</v>
      </c>
      <c r="Q10" s="24"/>
      <c r="R10" s="24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7"/>
    </row>
    <row r="11" spans="1:51" ht="13.5" thickTop="1">
      <c r="A11" s="98" t="s">
        <v>3</v>
      </c>
      <c r="B11" s="18"/>
      <c r="C11" s="18"/>
      <c r="D11" s="18"/>
      <c r="E11" s="18"/>
      <c r="F11" s="18"/>
      <c r="G11" s="18"/>
      <c r="H11" s="18"/>
      <c r="I11" s="18"/>
      <c r="J11" s="18"/>
      <c r="K11" s="111"/>
      <c r="L11" s="24">
        <f t="shared" si="0"/>
        <v>1</v>
      </c>
      <c r="M11" s="24">
        <v>2.8299999999999999E-2</v>
      </c>
      <c r="N11" s="24">
        <v>1</v>
      </c>
      <c r="O11" s="24"/>
      <c r="P11" s="24"/>
      <c r="Q11" s="24"/>
      <c r="R11" s="24"/>
      <c r="S11" s="14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7"/>
    </row>
    <row r="12" spans="1:51">
      <c r="A12" s="98" t="s">
        <v>4</v>
      </c>
      <c r="B12" s="7"/>
      <c r="C12" s="7"/>
      <c r="D12" s="7"/>
      <c r="E12" s="7"/>
      <c r="F12" s="7"/>
      <c r="G12" s="7"/>
      <c r="H12" s="7"/>
      <c r="I12" s="7"/>
      <c r="J12" s="21"/>
      <c r="K12" s="111"/>
      <c r="L12" s="24">
        <f t="shared" si="0"/>
        <v>1000</v>
      </c>
      <c r="M12" s="24">
        <v>1</v>
      </c>
      <c r="N12" s="26">
        <v>1000</v>
      </c>
      <c r="O12" s="24"/>
      <c r="P12" s="24"/>
      <c r="Q12" s="24"/>
      <c r="R12" s="24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7"/>
    </row>
    <row r="13" spans="1:51">
      <c r="A13" s="98" t="s">
        <v>5</v>
      </c>
      <c r="B13" s="7"/>
      <c r="C13" s="7"/>
      <c r="D13" s="7"/>
      <c r="E13" s="7"/>
      <c r="F13" s="7"/>
      <c r="G13" s="7"/>
      <c r="H13" s="7"/>
      <c r="I13" s="7"/>
      <c r="J13" s="21"/>
      <c r="K13" s="111"/>
      <c r="L13" s="24">
        <f t="shared" si="0"/>
        <v>2149</v>
      </c>
      <c r="M13" s="24">
        <v>162.6</v>
      </c>
      <c r="N13" s="26">
        <v>2149</v>
      </c>
      <c r="O13" s="24" t="s">
        <v>75</v>
      </c>
      <c r="P13" s="24"/>
      <c r="Q13" s="24"/>
      <c r="R13" s="24"/>
      <c r="S13" s="14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7"/>
    </row>
    <row r="14" spans="1:51">
      <c r="A14" s="98" t="s">
        <v>6</v>
      </c>
      <c r="B14" s="7"/>
      <c r="C14" s="7"/>
      <c r="D14" s="7"/>
      <c r="E14" s="7"/>
      <c r="F14" s="7"/>
      <c r="G14" s="7"/>
      <c r="H14" s="7"/>
      <c r="I14" s="7"/>
      <c r="J14" s="21"/>
      <c r="K14" s="111"/>
      <c r="L14" s="24">
        <f t="shared" si="0"/>
        <v>2.149</v>
      </c>
      <c r="M14" s="24">
        <v>162.6</v>
      </c>
      <c r="N14" s="24">
        <v>2.149</v>
      </c>
      <c r="O14" s="24"/>
      <c r="P14" s="24"/>
      <c r="Q14" s="24"/>
      <c r="R14" s="24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7"/>
    </row>
    <row r="15" spans="1:51">
      <c r="A15" s="98"/>
      <c r="B15" s="7"/>
      <c r="C15" s="7"/>
      <c r="D15" s="7"/>
      <c r="E15" s="7"/>
      <c r="F15" s="7"/>
      <c r="G15" s="7"/>
      <c r="H15" s="7"/>
      <c r="I15" s="7"/>
      <c r="J15" s="21"/>
      <c r="K15" s="111"/>
      <c r="L15" s="24">
        <f t="shared" si="0"/>
        <v>273</v>
      </c>
      <c r="M15" s="26">
        <v>460</v>
      </c>
      <c r="N15" s="26">
        <v>273</v>
      </c>
      <c r="O15" s="24"/>
      <c r="P15" s="24"/>
      <c r="Q15" s="24"/>
      <c r="R15" s="24"/>
      <c r="S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7"/>
    </row>
    <row r="16" spans="1:51">
      <c r="A16" s="98" t="s">
        <v>7</v>
      </c>
      <c r="B16" s="7"/>
      <c r="C16" s="7"/>
      <c r="D16" s="7"/>
      <c r="E16" s="7"/>
      <c r="F16" s="7"/>
      <c r="G16" s="7"/>
      <c r="H16" s="7"/>
      <c r="I16" s="7"/>
      <c r="J16" s="21"/>
      <c r="K16" s="111"/>
      <c r="L16" s="24">
        <f t="shared" si="0"/>
        <v>5.354E-4</v>
      </c>
      <c r="M16" s="24">
        <v>7.0800000000000004E-3</v>
      </c>
      <c r="N16" s="24">
        <v>5.354E-4</v>
      </c>
      <c r="O16" s="24"/>
      <c r="P16" s="24"/>
      <c r="Q16" s="24"/>
      <c r="R16" s="24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7"/>
    </row>
    <row r="17" spans="1:51">
      <c r="A17" s="99"/>
      <c r="B17" s="7"/>
      <c r="C17" s="7"/>
      <c r="D17" s="7"/>
      <c r="E17" s="7"/>
      <c r="F17" s="7"/>
      <c r="G17" s="7"/>
      <c r="H17" s="7"/>
      <c r="I17" s="7"/>
      <c r="J17" s="21"/>
      <c r="K17" s="111"/>
      <c r="L17" s="24">
        <f t="shared" si="0"/>
        <v>1.3089999999999999</v>
      </c>
      <c r="M17" s="26">
        <v>1424</v>
      </c>
      <c r="N17" s="24">
        <v>1.3089999999999999</v>
      </c>
      <c r="O17" s="24"/>
      <c r="P17" s="24"/>
      <c r="Q17" s="24"/>
      <c r="R17" s="24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7"/>
    </row>
    <row r="18" spans="1:51">
      <c r="A18" s="100" t="s">
        <v>8</v>
      </c>
      <c r="B18" s="7"/>
      <c r="C18" s="7"/>
      <c r="D18" s="7"/>
      <c r="E18" s="7"/>
      <c r="F18" s="7"/>
      <c r="G18" s="7"/>
      <c r="H18" s="7"/>
      <c r="I18" s="7"/>
      <c r="J18" s="21"/>
      <c r="K18" s="111" t="s">
        <v>42</v>
      </c>
      <c r="L18" s="24">
        <f t="shared" si="0"/>
        <v>1.508</v>
      </c>
      <c r="M18" s="26">
        <v>1637</v>
      </c>
      <c r="N18" s="24">
        <v>1.508</v>
      </c>
      <c r="O18" s="24"/>
      <c r="P18" s="24"/>
      <c r="Q18" s="24"/>
      <c r="R18" s="24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7"/>
    </row>
    <row r="19" spans="1:51" ht="13.5" thickBot="1">
      <c r="A19" s="100"/>
      <c r="B19" s="7"/>
      <c r="C19" s="7"/>
      <c r="D19" s="7"/>
      <c r="E19" s="7"/>
      <c r="F19" s="7"/>
      <c r="G19" s="7"/>
      <c r="H19" s="7"/>
      <c r="I19" s="7"/>
      <c r="J19" s="21"/>
      <c r="K19" s="111"/>
      <c r="L19" s="24"/>
      <c r="M19" s="26"/>
      <c r="N19" s="24"/>
      <c r="O19" s="24"/>
      <c r="P19" s="24"/>
      <c r="Q19" s="24"/>
      <c r="R19" s="24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7"/>
    </row>
    <row r="20" spans="1:51" ht="17.25" thickTop="1" thickBot="1">
      <c r="A20" s="97" t="s">
        <v>130</v>
      </c>
      <c r="B20" s="27"/>
      <c r="C20" s="17"/>
      <c r="D20" s="17"/>
      <c r="E20" s="17"/>
      <c r="F20" s="17"/>
      <c r="G20" s="17"/>
      <c r="H20" s="17"/>
      <c r="I20" s="17"/>
      <c r="J20" s="17"/>
      <c r="K20" s="111" t="s">
        <v>43</v>
      </c>
      <c r="L20" s="24">
        <f>IF($A$23="M",N20,M20)</f>
        <v>101.35</v>
      </c>
      <c r="M20" s="24">
        <v>14.65</v>
      </c>
      <c r="N20" s="25">
        <v>101.35</v>
      </c>
      <c r="O20" s="24"/>
      <c r="P20" s="24"/>
      <c r="Q20" s="24"/>
      <c r="R20" s="24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7"/>
    </row>
    <row r="21" spans="1:51" ht="13.5" thickTop="1">
      <c r="A21" s="99"/>
      <c r="B21" s="7"/>
      <c r="C21" s="7"/>
      <c r="D21" s="7"/>
      <c r="E21" s="7"/>
      <c r="F21" s="7"/>
      <c r="G21" s="7"/>
      <c r="H21" s="7"/>
      <c r="I21" s="7"/>
      <c r="J21" s="21"/>
      <c r="K21" s="111" t="s">
        <v>44</v>
      </c>
      <c r="L21" s="24">
        <f>IF($A$23="M",N21,M21)</f>
        <v>175.868055555556</v>
      </c>
      <c r="M21" s="24">
        <v>4.5304645133198704</v>
      </c>
      <c r="N21" s="25">
        <v>175.868055555556</v>
      </c>
      <c r="O21" s="24"/>
      <c r="P21" s="24"/>
      <c r="Q21" s="24"/>
      <c r="R21" s="24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7"/>
    </row>
    <row r="22" spans="1:51" ht="13.5" thickBot="1">
      <c r="A22" s="101" t="s">
        <v>31</v>
      </c>
      <c r="C22" s="79" t="s">
        <v>1</v>
      </c>
      <c r="D22" s="7"/>
      <c r="E22" s="21" t="s">
        <v>18</v>
      </c>
      <c r="F22" s="21"/>
      <c r="G22" s="28" t="s">
        <v>26</v>
      </c>
      <c r="H22" s="21"/>
      <c r="I22" s="28" t="s">
        <v>32</v>
      </c>
      <c r="J22" s="21"/>
      <c r="K22" s="111" t="s">
        <v>45</v>
      </c>
      <c r="L22" s="24" t="str">
        <f>IF($A$23="M",N22,IF($C$23=1,K18,M22))</f>
        <v>meters</v>
      </c>
      <c r="M22" s="30" t="s">
        <v>42</v>
      </c>
      <c r="N22" s="30" t="s">
        <v>63</v>
      </c>
      <c r="O22" s="24"/>
      <c r="P22" s="24"/>
      <c r="Q22" s="24"/>
      <c r="R22" s="24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7"/>
    </row>
    <row r="23" spans="1:51" ht="14.25" thickTop="1" thickBot="1">
      <c r="A23" s="102" t="s">
        <v>36</v>
      </c>
      <c r="C23" s="29">
        <v>0</v>
      </c>
      <c r="D23" s="31"/>
      <c r="E23" s="32">
        <v>0.03</v>
      </c>
      <c r="F23" s="20" t="s">
        <v>24</v>
      </c>
      <c r="G23" s="22">
        <v>0.3</v>
      </c>
      <c r="H23" s="20" t="s">
        <v>24</v>
      </c>
      <c r="I23" s="29">
        <v>1000</v>
      </c>
      <c r="J23" s="20" t="s">
        <v>37</v>
      </c>
      <c r="K23" s="111" t="s">
        <v>46</v>
      </c>
      <c r="L23" s="24" t="str">
        <f>IF($A$23="M",N23,IF($C$23=1,K20,M23))</f>
        <v>us/m</v>
      </c>
      <c r="M23" s="30" t="s">
        <v>43</v>
      </c>
      <c r="N23" s="30" t="s">
        <v>64</v>
      </c>
      <c r="O23" s="24"/>
      <c r="P23" s="24"/>
      <c r="Q23" s="24"/>
      <c r="R23" s="24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7"/>
    </row>
    <row r="24" spans="1:51" ht="13.5" thickTop="1">
      <c r="A24" s="103" t="s">
        <v>132</v>
      </c>
      <c r="C24" s="18" t="s">
        <v>2</v>
      </c>
      <c r="D24" s="21"/>
      <c r="E24" s="18"/>
      <c r="F24" s="21"/>
      <c r="G24" s="18"/>
      <c r="H24" s="21"/>
      <c r="I24" s="18"/>
      <c r="J24" s="7"/>
      <c r="K24" s="111" t="s">
        <v>47</v>
      </c>
      <c r="L24" s="24" t="str">
        <f>IF($A$23="M",N24,IF($C$23=1,K21,M24))</f>
        <v>KPa</v>
      </c>
      <c r="M24" s="30" t="s">
        <v>44</v>
      </c>
      <c r="N24" s="30" t="s">
        <v>65</v>
      </c>
      <c r="O24" s="24"/>
      <c r="P24" s="24"/>
      <c r="Q24" s="24"/>
      <c r="R24" s="24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7"/>
    </row>
    <row r="25" spans="1:51" ht="13.5" thickBot="1">
      <c r="A25" s="95"/>
      <c r="C25" s="81"/>
      <c r="D25" s="21"/>
      <c r="E25" s="81"/>
      <c r="F25" s="21"/>
      <c r="G25" s="81"/>
      <c r="H25" s="21"/>
      <c r="I25" s="81"/>
      <c r="J25" s="7"/>
      <c r="K25" s="111"/>
      <c r="L25" s="24"/>
      <c r="M25" s="30"/>
      <c r="N25" s="30"/>
      <c r="O25" s="24"/>
      <c r="P25" s="24"/>
      <c r="Q25" s="24"/>
      <c r="R25" s="24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7"/>
    </row>
    <row r="26" spans="1:51" ht="17.25" thickTop="1" thickBot="1">
      <c r="A26" s="95" t="s">
        <v>135</v>
      </c>
      <c r="C26" s="81"/>
      <c r="D26" s="82">
        <v>2000</v>
      </c>
      <c r="E26" s="83" t="s">
        <v>136</v>
      </c>
      <c r="F26" s="82">
        <v>3000</v>
      </c>
      <c r="G26" s="80" t="str">
        <f>" "&amp;$L$22</f>
        <v xml:space="preserve"> meters</v>
      </c>
      <c r="H26" s="21"/>
      <c r="I26" s="81"/>
      <c r="J26" s="7"/>
      <c r="K26" s="111"/>
      <c r="L26" s="24"/>
      <c r="M26" s="30"/>
      <c r="N26" s="30"/>
      <c r="O26" s="24"/>
      <c r="P26" s="24"/>
      <c r="Q26" s="24"/>
      <c r="R26" s="24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7"/>
    </row>
    <row r="27" spans="1:51" ht="13.5" thickTop="1">
      <c r="A27" s="99"/>
      <c r="B27" s="7"/>
      <c r="C27" s="7"/>
      <c r="D27" s="7"/>
      <c r="E27" s="7"/>
      <c r="F27" s="7"/>
      <c r="G27" s="7"/>
      <c r="H27" s="7"/>
      <c r="I27" s="7"/>
      <c r="J27" s="21"/>
      <c r="K27" s="111" t="s">
        <v>48</v>
      </c>
      <c r="L27" s="24" t="str">
        <f>IF($A$23="M",N27,IF($C$23=1,K22,M27))</f>
        <v>m3/d</v>
      </c>
      <c r="M27" s="30" t="s">
        <v>60</v>
      </c>
      <c r="N27" s="30" t="s">
        <v>66</v>
      </c>
      <c r="O27" s="24"/>
      <c r="P27" s="24"/>
      <c r="Q27" s="24"/>
      <c r="R27" s="24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7"/>
    </row>
    <row r="28" spans="1:51" ht="13.5" thickBot="1">
      <c r="A28" s="95" t="s">
        <v>131</v>
      </c>
      <c r="B28" s="21"/>
      <c r="C28" s="28" t="s">
        <v>19</v>
      </c>
      <c r="D28" s="21"/>
      <c r="E28" s="28" t="s">
        <v>27</v>
      </c>
      <c r="F28" s="21"/>
      <c r="G28" s="28" t="s">
        <v>33</v>
      </c>
      <c r="H28" s="21"/>
      <c r="I28" s="28" t="s">
        <v>38</v>
      </c>
      <c r="J28" s="21"/>
      <c r="K28" s="111" t="s">
        <v>49</v>
      </c>
      <c r="L28" s="24" t="str">
        <f>IF($A$23="M",N28,IF($C$23=1,K23,M28))</f>
        <v>Kg/m3</v>
      </c>
      <c r="M28" s="30" t="s">
        <v>46</v>
      </c>
      <c r="N28" s="30" t="s">
        <v>67</v>
      </c>
      <c r="O28" s="24"/>
      <c r="P28" s="24"/>
      <c r="Q28" s="24"/>
      <c r="R28" s="24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7"/>
    </row>
    <row r="29" spans="1:51" ht="13.5" thickBot="1">
      <c r="A29" s="104"/>
      <c r="B29" s="21" t="s">
        <v>12</v>
      </c>
      <c r="C29" s="22">
        <v>1</v>
      </c>
      <c r="D29" s="20"/>
      <c r="E29" s="22">
        <v>0</v>
      </c>
      <c r="F29" s="20"/>
      <c r="G29" s="22">
        <v>1</v>
      </c>
      <c r="H29" s="20"/>
      <c r="I29" s="22">
        <v>0</v>
      </c>
      <c r="J29" s="20"/>
      <c r="K29" s="111" t="s">
        <v>50</v>
      </c>
      <c r="L29" s="24" t="str">
        <f>IF($A$23="M",N29,IF($C$23=1,K24,M29))</f>
        <v>mm</v>
      </c>
      <c r="M29" s="30" t="s">
        <v>47</v>
      </c>
      <c r="N29" s="30" t="s">
        <v>68</v>
      </c>
      <c r="O29" s="24"/>
      <c r="P29" s="24"/>
      <c r="Q29" s="24"/>
      <c r="R29" s="24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7"/>
    </row>
    <row r="30" spans="1:51" ht="13.5" thickBot="1">
      <c r="A30" s="104"/>
      <c r="B30" s="21" t="s">
        <v>13</v>
      </c>
      <c r="C30" s="22">
        <v>0.4</v>
      </c>
      <c r="D30" s="20"/>
      <c r="E30" s="22">
        <v>0.08</v>
      </c>
      <c r="F30" s="20"/>
      <c r="G30" s="22">
        <v>0.6</v>
      </c>
      <c r="H30" s="20"/>
      <c r="I30" s="22">
        <v>1</v>
      </c>
      <c r="J30" s="20"/>
      <c r="K30" s="111" t="s">
        <v>51</v>
      </c>
      <c r="L30" s="24" t="str">
        <f>IF($A$23="M",N30,IF($C$23=1,K27,M30))</f>
        <v>'C</v>
      </c>
      <c r="M30" s="30" t="s">
        <v>48</v>
      </c>
      <c r="N30" s="30" t="s">
        <v>69</v>
      </c>
      <c r="O30" s="24"/>
      <c r="P30" s="24"/>
      <c r="Q30" s="24"/>
      <c r="R30" s="24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7"/>
    </row>
    <row r="31" spans="1:51" ht="13.5" thickBot="1">
      <c r="A31" s="95"/>
      <c r="B31" s="21" t="s">
        <v>14</v>
      </c>
      <c r="C31" s="22">
        <v>0.25</v>
      </c>
      <c r="D31" s="20"/>
      <c r="E31" s="22">
        <v>0.1</v>
      </c>
      <c r="F31" s="20"/>
      <c r="G31" s="22">
        <v>0.3</v>
      </c>
      <c r="H31" s="20"/>
      <c r="I31" s="22">
        <v>2</v>
      </c>
      <c r="J31" s="20"/>
      <c r="K31" s="111" t="s">
        <v>52</v>
      </c>
      <c r="L31" s="24" t="str">
        <f>IF($A$23="M",N31,IF($C$23=1,K28,M31))</f>
        <v>Metric</v>
      </c>
      <c r="M31" s="30" t="s">
        <v>49</v>
      </c>
      <c r="N31" s="30" t="s">
        <v>70</v>
      </c>
      <c r="O31" s="24"/>
      <c r="P31" s="24"/>
      <c r="Q31" s="24"/>
      <c r="R31" s="24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7"/>
    </row>
    <row r="32" spans="1:51">
      <c r="A32" s="95"/>
      <c r="B32" s="21"/>
      <c r="C32" s="18"/>
      <c r="D32" s="21"/>
      <c r="E32" s="18"/>
      <c r="F32" s="21"/>
      <c r="G32" s="18"/>
      <c r="H32" s="21"/>
      <c r="I32" s="18"/>
      <c r="J32" s="21"/>
      <c r="K32" s="111" t="s">
        <v>53</v>
      </c>
      <c r="L32" s="24" t="str">
        <f>IF($A$23="M",N32,IF($C$23=1,K29,M32))</f>
        <v>md-m</v>
      </c>
      <c r="M32" s="30" t="s">
        <v>50</v>
      </c>
      <c r="N32" s="30" t="s">
        <v>71</v>
      </c>
      <c r="O32" s="24"/>
      <c r="P32" s="24"/>
      <c r="Q32" s="33"/>
      <c r="R32" s="33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7"/>
    </row>
    <row r="33" spans="1:51" ht="13.5" thickBot="1">
      <c r="A33" s="95" t="s">
        <v>9</v>
      </c>
      <c r="B33" s="21" t="s">
        <v>15</v>
      </c>
      <c r="C33" s="21" t="s">
        <v>15</v>
      </c>
      <c r="D33" s="21" t="s">
        <v>15</v>
      </c>
      <c r="E33" s="21" t="s">
        <v>15</v>
      </c>
      <c r="F33" s="21" t="s">
        <v>15</v>
      </c>
      <c r="G33" s="21" t="s">
        <v>15</v>
      </c>
      <c r="H33" s="21" t="s">
        <v>15</v>
      </c>
      <c r="I33" s="21" t="s">
        <v>15</v>
      </c>
      <c r="J33" s="21" t="s">
        <v>40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>
        <v>41</v>
      </c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7"/>
    </row>
    <row r="34" spans="1:51" ht="17.25" thickTop="1" thickBot="1">
      <c r="A34" s="97" t="s">
        <v>133</v>
      </c>
      <c r="B34" s="88"/>
      <c r="C34" s="88"/>
      <c r="D34" s="88"/>
      <c r="E34" s="88"/>
      <c r="F34" s="88"/>
      <c r="G34" s="88"/>
      <c r="H34" s="88"/>
      <c r="I34" s="88"/>
      <c r="J34" s="88"/>
      <c r="K34" s="89"/>
      <c r="L34" s="17"/>
      <c r="M34" s="16"/>
      <c r="N34" s="17"/>
      <c r="O34" s="17"/>
      <c r="P34" s="17"/>
      <c r="Q34" s="34" t="s">
        <v>81</v>
      </c>
      <c r="R34" s="17"/>
      <c r="S34" s="17"/>
      <c r="T34" s="17"/>
      <c r="U34" s="17"/>
      <c r="V34" s="17"/>
      <c r="W34" s="17"/>
      <c r="X34" s="34"/>
      <c r="Y34" s="17"/>
      <c r="Z34" s="17"/>
      <c r="AA34" s="16">
        <f>AA33+1</f>
        <v>42</v>
      </c>
      <c r="AB34" s="17"/>
      <c r="AC34" s="17"/>
      <c r="AD34" s="17"/>
      <c r="AE34" s="17" t="s">
        <v>106</v>
      </c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 t="s">
        <v>116</v>
      </c>
      <c r="AY34" s="31"/>
    </row>
    <row r="35" spans="1:51" ht="16.5" thickTop="1">
      <c r="A35" s="105" t="s">
        <v>10</v>
      </c>
      <c r="B35" s="36"/>
      <c r="C35" s="36"/>
      <c r="D35" s="36"/>
      <c r="E35" s="36"/>
      <c r="F35" s="36"/>
      <c r="G35" s="36"/>
      <c r="H35" s="36"/>
      <c r="I35" s="36"/>
      <c r="J35" s="36"/>
      <c r="K35" s="87" t="s">
        <v>139</v>
      </c>
      <c r="L35" s="36"/>
      <c r="M35" s="35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5">
        <f>AA34+1</f>
        <v>43</v>
      </c>
      <c r="AB35" s="36"/>
      <c r="AC35" s="36"/>
      <c r="AD35" s="36"/>
      <c r="AE35" s="36" t="s">
        <v>12</v>
      </c>
      <c r="AF35" s="36"/>
      <c r="AG35" s="36"/>
      <c r="AH35" s="36"/>
      <c r="AI35" s="36"/>
      <c r="AJ35" s="36" t="s">
        <v>13</v>
      </c>
      <c r="AK35" s="36"/>
      <c r="AL35" s="36"/>
      <c r="AM35" s="36"/>
      <c r="AN35" s="36"/>
      <c r="AO35" s="36" t="s">
        <v>14</v>
      </c>
      <c r="AP35" s="36"/>
      <c r="AQ35" s="36" t="s">
        <v>113</v>
      </c>
      <c r="AR35" s="36">
        <f>SUM(AR38:AR49)</f>
        <v>172.27662772820011</v>
      </c>
      <c r="AS35" s="36"/>
      <c r="AT35" s="36"/>
      <c r="AU35" s="36"/>
      <c r="AV35" s="36"/>
      <c r="AW35" s="36"/>
      <c r="AX35" s="36" t="s">
        <v>116</v>
      </c>
      <c r="AY35" s="31"/>
    </row>
    <row r="36" spans="1:51" ht="15.75">
      <c r="A36" s="105" t="s">
        <v>11</v>
      </c>
      <c r="B36" s="37" t="s">
        <v>16</v>
      </c>
      <c r="C36" s="37" t="s">
        <v>20</v>
      </c>
      <c r="D36" s="37" t="s">
        <v>25</v>
      </c>
      <c r="E36" s="37" t="s">
        <v>28</v>
      </c>
      <c r="F36" s="37" t="s">
        <v>29</v>
      </c>
      <c r="G36" s="37" t="s">
        <v>34</v>
      </c>
      <c r="H36" s="37" t="s">
        <v>134</v>
      </c>
      <c r="I36" s="37" t="s">
        <v>39</v>
      </c>
      <c r="J36" s="37" t="s">
        <v>41</v>
      </c>
      <c r="K36" s="37" t="s">
        <v>54</v>
      </c>
      <c r="L36" s="37" t="s">
        <v>59</v>
      </c>
      <c r="M36" s="38" t="s">
        <v>61</v>
      </c>
      <c r="N36" s="37" t="s">
        <v>72</v>
      </c>
      <c r="O36" s="37" t="s">
        <v>76</v>
      </c>
      <c r="P36" s="36" t="str">
        <f>IF($C$23,"Sw+ROS","         Sw")</f>
        <v xml:space="preserve">         Sw</v>
      </c>
      <c r="Q36" s="39" t="s">
        <v>82</v>
      </c>
      <c r="R36" s="37" t="s">
        <v>86</v>
      </c>
      <c r="S36" s="37" t="s">
        <v>89</v>
      </c>
      <c r="T36" s="37" t="s">
        <v>90</v>
      </c>
      <c r="U36" s="37" t="s">
        <v>93</v>
      </c>
      <c r="V36" s="37" t="s">
        <v>96</v>
      </c>
      <c r="W36" s="36" t="s">
        <v>97</v>
      </c>
      <c r="X36" s="36"/>
      <c r="Y36" s="36"/>
      <c r="Z36" s="37" t="s">
        <v>101</v>
      </c>
      <c r="AA36" s="35">
        <f>AA35+1</f>
        <v>44</v>
      </c>
      <c r="AB36" s="36" t="s">
        <v>102</v>
      </c>
      <c r="AC36" s="36"/>
      <c r="AD36" s="36"/>
      <c r="AE36" s="37" t="s">
        <v>107</v>
      </c>
      <c r="AF36" s="37" t="s">
        <v>108</v>
      </c>
      <c r="AG36" s="37" t="s">
        <v>109</v>
      </c>
      <c r="AH36" s="37" t="s">
        <v>110</v>
      </c>
      <c r="AI36" s="36" t="s">
        <v>112</v>
      </c>
      <c r="AJ36" s="37" t="s">
        <v>107</v>
      </c>
      <c r="AK36" s="37" t="s">
        <v>108</v>
      </c>
      <c r="AL36" s="37" t="s">
        <v>109</v>
      </c>
      <c r="AM36" s="37" t="s">
        <v>110</v>
      </c>
      <c r="AN36" s="36" t="s">
        <v>112</v>
      </c>
      <c r="AO36" s="37" t="s">
        <v>107</v>
      </c>
      <c r="AP36" s="37" t="s">
        <v>108</v>
      </c>
      <c r="AQ36" s="37" t="s">
        <v>109</v>
      </c>
      <c r="AR36" s="37" t="s">
        <v>110</v>
      </c>
      <c r="AS36" s="36" t="s">
        <v>112</v>
      </c>
      <c r="AT36" s="36" t="s">
        <v>114</v>
      </c>
      <c r="AU36" s="36"/>
      <c r="AV36" s="36" t="s">
        <v>115</v>
      </c>
      <c r="AW36" s="36"/>
      <c r="AX36" s="36" t="s">
        <v>116</v>
      </c>
      <c r="AY36" s="31"/>
    </row>
    <row r="37" spans="1:51" ht="16.5" thickBot="1">
      <c r="A37" s="105" t="str">
        <f>"   "&amp;$L$22</f>
        <v xml:space="preserve">   meters</v>
      </c>
      <c r="B37" s="36" t="str">
        <f>"   "&amp;$L$22</f>
        <v xml:space="preserve">   meters</v>
      </c>
      <c r="C37" s="37" t="s">
        <v>21</v>
      </c>
      <c r="D37" s="37" t="s">
        <v>21</v>
      </c>
      <c r="E37" s="37" t="s">
        <v>21</v>
      </c>
      <c r="F37" s="37" t="s">
        <v>30</v>
      </c>
      <c r="G37" s="36" t="str">
        <f>"     "&amp;$L$28</f>
        <v xml:space="preserve">     Kg/m3</v>
      </c>
      <c r="H37" s="36" t="str">
        <f>"     "&amp;$L$28</f>
        <v xml:space="preserve">     Kg/m3</v>
      </c>
      <c r="I37" s="37" t="s">
        <v>30</v>
      </c>
      <c r="J37" s="37" t="s">
        <v>30</v>
      </c>
      <c r="K37" s="37"/>
      <c r="L37" s="36" t="str">
        <f>"     "&amp;$L$22</f>
        <v xml:space="preserve">     meters</v>
      </c>
      <c r="M37" s="35" t="str">
        <f>"    "&amp;$L$22</f>
        <v xml:space="preserve">    meters</v>
      </c>
      <c r="N37" s="37" t="s">
        <v>73</v>
      </c>
      <c r="O37" s="37" t="s">
        <v>73</v>
      </c>
      <c r="P37" s="37" t="s">
        <v>73</v>
      </c>
      <c r="Q37" s="39" t="s">
        <v>83</v>
      </c>
      <c r="R37" s="37" t="s">
        <v>73</v>
      </c>
      <c r="S37" s="37" t="s">
        <v>73</v>
      </c>
      <c r="T37" s="37" t="s">
        <v>91</v>
      </c>
      <c r="U37" s="37" t="s">
        <v>94</v>
      </c>
      <c r="V37" s="36" t="str">
        <f>"   "&amp;$L$28</f>
        <v xml:space="preserve">   Kg/m3</v>
      </c>
      <c r="W37" s="36" t="s">
        <v>98</v>
      </c>
      <c r="X37" s="37"/>
      <c r="Y37" s="37"/>
      <c r="Z37" s="36" t="str">
        <f>"       "&amp;$L$22</f>
        <v xml:space="preserve">       meters</v>
      </c>
      <c r="AA37" s="35">
        <f>AA36+1</f>
        <v>45</v>
      </c>
      <c r="AB37" s="36" t="s">
        <v>103</v>
      </c>
      <c r="AC37" s="36" t="s">
        <v>104</v>
      </c>
      <c r="AD37" s="36" t="s">
        <v>105</v>
      </c>
      <c r="AE37" s="36"/>
      <c r="AF37" s="36"/>
      <c r="AG37" s="36"/>
      <c r="AH37" s="36" t="s">
        <v>111</v>
      </c>
      <c r="AI37" s="36"/>
      <c r="AJ37" s="36"/>
      <c r="AK37" s="36"/>
      <c r="AL37" s="36"/>
      <c r="AM37" s="36" t="s">
        <v>111</v>
      </c>
      <c r="AN37" s="36"/>
      <c r="AO37" s="36"/>
      <c r="AP37" s="36"/>
      <c r="AQ37" s="36"/>
      <c r="AR37" s="36" t="s">
        <v>111</v>
      </c>
      <c r="AS37" s="36"/>
      <c r="AT37" s="36"/>
      <c r="AU37" s="36"/>
      <c r="AV37" s="36"/>
      <c r="AW37" s="36"/>
      <c r="AX37" s="36" t="s">
        <v>116</v>
      </c>
      <c r="AY37" s="31"/>
    </row>
    <row r="38" spans="1:51" ht="16.5" thickBot="1">
      <c r="A38" s="106"/>
      <c r="B38" s="41"/>
      <c r="C38" s="41" t="s">
        <v>22</v>
      </c>
      <c r="D38" s="41"/>
      <c r="E38" s="41"/>
      <c r="F38" s="41"/>
      <c r="G38" s="41"/>
      <c r="H38" s="41"/>
      <c r="I38" s="41"/>
      <c r="J38" s="41"/>
      <c r="K38" s="41"/>
      <c r="L38" s="41"/>
      <c r="M38" s="40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7"/>
    </row>
    <row r="39" spans="1:51" ht="16.5" thickBot="1">
      <c r="A39" s="107">
        <f>6726/3.281</f>
        <v>2049.9847607436755</v>
      </c>
      <c r="B39" s="42">
        <f>6735.5/3.281</f>
        <v>2052.880219445291</v>
      </c>
      <c r="C39" s="43">
        <v>0.01</v>
      </c>
      <c r="D39" s="43">
        <v>0.01</v>
      </c>
      <c r="E39" s="43">
        <v>0.01</v>
      </c>
      <c r="F39" s="44">
        <v>9.8719414706669676E-3</v>
      </c>
      <c r="G39" s="45">
        <v>2645</v>
      </c>
      <c r="H39" s="45">
        <v>2650</v>
      </c>
      <c r="I39" s="46">
        <v>0</v>
      </c>
      <c r="J39" s="46">
        <v>0.32</v>
      </c>
      <c r="K39" s="45" t="s">
        <v>55</v>
      </c>
      <c r="L39" s="42">
        <v>1010</v>
      </c>
      <c r="M39" s="47">
        <f t="shared" ref="M39:M45" si="5">B39-A39</f>
        <v>2.8954587016155529</v>
      </c>
      <c r="N39" s="48">
        <v>0</v>
      </c>
      <c r="O39" s="44">
        <f t="shared" ref="O39:O45" si="6">MIN($G$23*(1-N39),F39)</f>
        <v>9.8719414706669676E-3</v>
      </c>
      <c r="P39" s="48">
        <f t="shared" ref="P39:P45" si="7">MIN(1,$E$23/O39)</f>
        <v>1</v>
      </c>
      <c r="Q39" s="43">
        <f t="shared" ref="Q39:Q45" si="8">MIN($I$23,C39)</f>
        <v>0.01</v>
      </c>
      <c r="R39" s="48">
        <f t="shared" ref="R39:R45" si="9">E39/C39</f>
        <v>1</v>
      </c>
      <c r="S39" s="44">
        <f t="shared" ref="S39:S45" si="10">O39*P39</f>
        <v>9.8719414706669676E-3</v>
      </c>
      <c r="T39" s="48" t="str">
        <f>IF(OR($O$9&gt;A39,$Q$9&lt;B39),"XCLUD",IF(AD39=0,IF(N39&gt;$O$8,"SHALY",IF(OR(O39&lt;$P$8,Q39&lt;$R$8),"TIGHT","  WET")),IF(S39&lt;1.2*$E$23/(1-N39+0.01),IF($C$23,"  GAS","  OIL"),"  H2O")))</f>
        <v xml:space="preserve">  OIL</v>
      </c>
      <c r="U39" s="49">
        <f t="shared" ref="U39:U45" si="11">(U38-AR38)</f>
        <v>0</v>
      </c>
      <c r="V39" s="49">
        <f t="shared" ref="V39:V45" si="12">H39</f>
        <v>2650</v>
      </c>
      <c r="W39" s="48" t="str">
        <f t="shared" ref="W39:W46" si="13">K39</f>
        <v>SS</v>
      </c>
      <c r="X39" s="48"/>
      <c r="Y39" s="48"/>
      <c r="Z39" s="43">
        <f t="shared" ref="Z39:Z45" si="14">L39-A39</f>
        <v>-1039.9847607436755</v>
      </c>
      <c r="AA39" s="50">
        <f t="shared" ref="AA39:AA45" si="15">AA38+1</f>
        <v>1</v>
      </c>
      <c r="AB39" s="51" t="b">
        <f>AND(AND(AND(AND(AND(N39&lt;=$O$6,O39&gt;=$P$6),P39&lt;=$Q$6),Q39&gt;=$R$6),A39&gt;=$O$9),B39&lt;=$Q$9)</f>
        <v>1</v>
      </c>
      <c r="AC39" s="51" t="b">
        <f>AND(AND(AND(AND(AND(N39&lt;=$O$7,O39&gt;=$P$7),P39&lt;=$Q$7),Q39&gt;=$R$7),A39&gt;=$O$9),B39&lt;=$Q$9)</f>
        <v>0</v>
      </c>
      <c r="AD39" s="51" t="b">
        <f>AND(AND(AND(AND(AND(N39&lt;=$O$8,O39&gt;=$P$8),P39&lt;=$Q$8),Q39&gt;=$R$8),A39&gt;=$O$9),B39&lt;=$Q$9)</f>
        <v>0</v>
      </c>
      <c r="AE39" s="51">
        <f t="shared" ref="AE39:AE45" si="16">$M39*$N39*AB39</f>
        <v>0</v>
      </c>
      <c r="AF39" s="51">
        <f t="shared" ref="AF39:AF45" si="17">$O39*$M39*AB39</f>
        <v>2.8583798833082111E-2</v>
      </c>
      <c r="AG39" s="51">
        <f t="shared" ref="AG39:AG45" si="18">AF39*(1-$P39)*AB39</f>
        <v>0</v>
      </c>
      <c r="AH39" s="51">
        <f t="shared" ref="AH39:AH45" si="19">$Q39*$M39*AB39</f>
        <v>2.8954587016155529E-2</v>
      </c>
      <c r="AI39" s="51">
        <f t="shared" ref="AI39:AI45" si="20">$M39*AB39</f>
        <v>2.8954587016155529</v>
      </c>
      <c r="AJ39" s="51">
        <f t="shared" ref="AJ39:AJ45" si="21">$M39*$N39*AC39</f>
        <v>0</v>
      </c>
      <c r="AK39" s="51">
        <f t="shared" ref="AK39:AK45" si="22">$O39*$M39*AC39</f>
        <v>0</v>
      </c>
      <c r="AL39" s="51">
        <f t="shared" ref="AL39:AL45" si="23">AK39*(1-$P39)*AC39</f>
        <v>0</v>
      </c>
      <c r="AM39" s="51">
        <f t="shared" ref="AM39:AM45" si="24">$Q39*$M39*AC39</f>
        <v>0</v>
      </c>
      <c r="AN39" s="51">
        <f t="shared" ref="AN39:AN45" si="25">$M39*AC39</f>
        <v>0</v>
      </c>
      <c r="AO39" s="51">
        <f t="shared" ref="AO39:AO45" si="26">$M39*$N39*AD39</f>
        <v>0</v>
      </c>
      <c r="AP39" s="51">
        <f t="shared" ref="AP39:AP45" si="27">$O39*$M39*AD39</f>
        <v>0</v>
      </c>
      <c r="AQ39" s="51">
        <f t="shared" ref="AQ39:AQ45" si="28">AP39*(1-$P39)*AD39</f>
        <v>0</v>
      </c>
      <c r="AR39" s="51">
        <f t="shared" ref="AR39:AR45" si="29">$Q39*$M39*AD39</f>
        <v>0</v>
      </c>
      <c r="AS39" s="51">
        <f t="shared" ref="AS39:AS45" si="30">$M39*AD39</f>
        <v>0</v>
      </c>
      <c r="AT39" s="51">
        <f t="shared" ref="AT39:AT45" si="31">P39</f>
        <v>1</v>
      </c>
      <c r="AU39" s="51">
        <f t="shared" ref="AU39:AU45" si="32">O39</f>
        <v>9.8719414706669676E-3</v>
      </c>
      <c r="AV39" s="51">
        <f t="shared" ref="AV39:AV45" si="33">Q39</f>
        <v>0.01</v>
      </c>
      <c r="AW39" s="51">
        <f t="shared" ref="AW39:AW45" si="34">O39</f>
        <v>9.8719414706669676E-3</v>
      </c>
      <c r="AX39" s="51" t="s">
        <v>116</v>
      </c>
      <c r="AY39" s="31"/>
    </row>
    <row r="40" spans="1:51" ht="16.5" thickBot="1">
      <c r="A40" s="108">
        <f>6735.5/3.281</f>
        <v>2052.880219445291</v>
      </c>
      <c r="B40" s="52">
        <f>6739.5/3.281</f>
        <v>2054.0993599512344</v>
      </c>
      <c r="C40" s="70">
        <v>0.01</v>
      </c>
      <c r="D40" s="70">
        <v>0.01</v>
      </c>
      <c r="E40" s="70">
        <v>0.01</v>
      </c>
      <c r="F40" s="53">
        <v>4.7167220589995111E-2</v>
      </c>
      <c r="G40" s="54">
        <f>F40*1000+(1-F40)*2650</f>
        <v>2572.1740860265077</v>
      </c>
      <c r="H40" s="54">
        <v>2650</v>
      </c>
      <c r="I40" s="55">
        <v>0.08</v>
      </c>
      <c r="J40" s="55">
        <v>0.11</v>
      </c>
      <c r="K40" s="54" t="s">
        <v>55</v>
      </c>
      <c r="L40" s="52">
        <v>1010</v>
      </c>
      <c r="M40" s="56">
        <f t="shared" si="5"/>
        <v>1.2191405059434146</v>
      </c>
      <c r="N40" s="57">
        <v>0</v>
      </c>
      <c r="O40" s="53">
        <f t="shared" si="6"/>
        <v>4.7167220589995111E-2</v>
      </c>
      <c r="P40" s="57">
        <f t="shared" si="7"/>
        <v>0.63603493325963445</v>
      </c>
      <c r="Q40" s="58">
        <f t="shared" si="8"/>
        <v>0.01</v>
      </c>
      <c r="R40" s="57">
        <f t="shared" si="9"/>
        <v>1</v>
      </c>
      <c r="S40" s="53">
        <f t="shared" si="10"/>
        <v>2.9999999999999995E-2</v>
      </c>
      <c r="T40" s="48" t="str">
        <f t="shared" ref="T40:T45" si="35">IF(OR($O$9&gt;A40,$Q$9&lt;B40),"XCLUD",IF(AD40=0,IF(N40&gt;$O$8,"SHALY",IF(OR(O40&lt;$P$8,Q40&lt;$R$8),"TIGHT","  WET")),IF(S40&lt;1.2*$E$23/(1-N40+0.01),IF($C$23,"  GAS","  OIL"),"  H2O")))</f>
        <v xml:space="preserve">  OIL</v>
      </c>
      <c r="U40" s="59">
        <f t="shared" si="11"/>
        <v>0</v>
      </c>
      <c r="V40" s="59">
        <f t="shared" si="12"/>
        <v>2650</v>
      </c>
      <c r="W40" s="57" t="str">
        <f t="shared" si="13"/>
        <v>SS</v>
      </c>
      <c r="X40" s="57"/>
      <c r="Y40" s="57"/>
      <c r="Z40" s="58">
        <f t="shared" si="14"/>
        <v>-1042.880219445291</v>
      </c>
      <c r="AA40" s="10">
        <f t="shared" si="15"/>
        <v>2</v>
      </c>
      <c r="AB40" s="51" t="b">
        <f t="shared" ref="AB40:AB45" si="36">AND(AND(AND(AND(AND(N40&lt;=$O$6,O40&gt;=$P$6),P40&lt;=$Q$6),Q40&gt;=$R$6),A40&gt;=$O$9),B40&lt;=$Q$9)</f>
        <v>1</v>
      </c>
      <c r="AC40" s="51" t="b">
        <f t="shared" ref="AC40:AC45" si="37">AND(AND(AND(AND(AND(N40&lt;=$O$7,O40&gt;=$P$7),P40&lt;=$Q$7),Q40&gt;=$R$7),A40&gt;=$O$9),B40&lt;=$Q$9)</f>
        <v>0</v>
      </c>
      <c r="AD40" s="51" t="b">
        <f t="shared" ref="AD40:AD45" si="38">AND(AND(AND(AND(AND(N40&lt;=$O$8,O40&gt;=$P$8),P40&lt;=$Q$8),Q40&gt;=$R$8),A40&gt;=$O$9),B40&lt;=$Q$9)</f>
        <v>0</v>
      </c>
      <c r="AE40" s="6">
        <f t="shared" si="16"/>
        <v>0</v>
      </c>
      <c r="AF40" s="6">
        <f t="shared" si="17"/>
        <v>5.7503469174031284E-2</v>
      </c>
      <c r="AG40" s="6">
        <f t="shared" si="18"/>
        <v>2.0929253995728848E-2</v>
      </c>
      <c r="AH40" s="6">
        <f t="shared" si="19"/>
        <v>1.2191405059434146E-2</v>
      </c>
      <c r="AI40" s="6">
        <f t="shared" si="20"/>
        <v>1.2191405059434146</v>
      </c>
      <c r="AJ40" s="6">
        <f t="shared" si="21"/>
        <v>0</v>
      </c>
      <c r="AK40" s="6">
        <f t="shared" si="22"/>
        <v>0</v>
      </c>
      <c r="AL40" s="6">
        <f t="shared" si="23"/>
        <v>0</v>
      </c>
      <c r="AM40" s="6">
        <f t="shared" si="24"/>
        <v>0</v>
      </c>
      <c r="AN40" s="6">
        <f t="shared" si="25"/>
        <v>0</v>
      </c>
      <c r="AO40" s="6">
        <f t="shared" si="26"/>
        <v>0</v>
      </c>
      <c r="AP40" s="6">
        <f t="shared" si="27"/>
        <v>0</v>
      </c>
      <c r="AQ40" s="6">
        <f t="shared" si="28"/>
        <v>0</v>
      </c>
      <c r="AR40" s="6">
        <f t="shared" si="29"/>
        <v>0</v>
      </c>
      <c r="AS40" s="6">
        <f t="shared" si="30"/>
        <v>0</v>
      </c>
      <c r="AT40" s="6">
        <f t="shared" si="31"/>
        <v>0.63603493325963445</v>
      </c>
      <c r="AU40" s="6">
        <f t="shared" si="32"/>
        <v>4.7167220589995111E-2</v>
      </c>
      <c r="AV40" s="6">
        <f t="shared" si="33"/>
        <v>0.01</v>
      </c>
      <c r="AW40" s="6">
        <f t="shared" si="34"/>
        <v>4.7167220589995111E-2</v>
      </c>
      <c r="AX40" s="6" t="s">
        <v>116</v>
      </c>
      <c r="AY40" s="31"/>
    </row>
    <row r="41" spans="1:51" ht="16.5" thickBot="1">
      <c r="A41" s="108">
        <f>6739.5/3.281</f>
        <v>2054.0993599512344</v>
      </c>
      <c r="B41" s="52">
        <f>6744.5/3.281</f>
        <v>2055.6232855836633</v>
      </c>
      <c r="C41" s="70">
        <v>4.1372830197390744</v>
      </c>
      <c r="D41" s="70">
        <v>4.1372830197390744</v>
      </c>
      <c r="E41" s="70">
        <v>4.1372830197390744</v>
      </c>
      <c r="F41" s="53">
        <v>0.1178608903463496</v>
      </c>
      <c r="G41" s="54">
        <f>F41*1000+(1-F41)*2650</f>
        <v>2455.5295309285229</v>
      </c>
      <c r="H41" s="54">
        <v>2650</v>
      </c>
      <c r="I41" s="55">
        <v>0.09</v>
      </c>
      <c r="J41" s="55">
        <v>0.33</v>
      </c>
      <c r="K41" s="54" t="s">
        <v>55</v>
      </c>
      <c r="L41" s="52">
        <v>1010</v>
      </c>
      <c r="M41" s="56">
        <f t="shared" si="5"/>
        <v>1.5239256324289272</v>
      </c>
      <c r="N41" s="57">
        <v>0</v>
      </c>
      <c r="O41" s="53">
        <f t="shared" si="6"/>
        <v>0.1178608903463496</v>
      </c>
      <c r="P41" s="57">
        <f t="shared" si="7"/>
        <v>0.25453736105200875</v>
      </c>
      <c r="Q41" s="58">
        <f t="shared" si="8"/>
        <v>4.1372830197390744</v>
      </c>
      <c r="R41" s="57">
        <f t="shared" si="9"/>
        <v>1</v>
      </c>
      <c r="S41" s="53">
        <f t="shared" si="10"/>
        <v>0.03</v>
      </c>
      <c r="T41" s="48" t="str">
        <f t="shared" si="35"/>
        <v xml:space="preserve">  OIL</v>
      </c>
      <c r="U41" s="59">
        <f t="shared" si="11"/>
        <v>0</v>
      </c>
      <c r="V41" s="59">
        <f t="shared" si="12"/>
        <v>2650</v>
      </c>
      <c r="W41" s="57" t="str">
        <f t="shared" si="13"/>
        <v>SS</v>
      </c>
      <c r="X41" s="57"/>
      <c r="Y41" s="57"/>
      <c r="Z41" s="58">
        <f t="shared" si="14"/>
        <v>-1044.0993599512344</v>
      </c>
      <c r="AA41" s="10">
        <f t="shared" si="15"/>
        <v>3</v>
      </c>
      <c r="AB41" s="51" t="b">
        <f t="shared" si="36"/>
        <v>1</v>
      </c>
      <c r="AC41" s="51" t="b">
        <f t="shared" si="37"/>
        <v>1</v>
      </c>
      <c r="AD41" s="51" t="b">
        <f t="shared" si="38"/>
        <v>1</v>
      </c>
      <c r="AE41" s="6">
        <f t="shared" si="16"/>
        <v>0</v>
      </c>
      <c r="AF41" s="6">
        <f t="shared" si="17"/>
        <v>0.17961123185969724</v>
      </c>
      <c r="AG41" s="6">
        <f t="shared" si="18"/>
        <v>0.13389346288682943</v>
      </c>
      <c r="AH41" s="6">
        <f t="shared" si="19"/>
        <v>6.3049116423933311</v>
      </c>
      <c r="AI41" s="6">
        <f t="shared" si="20"/>
        <v>1.5239256324289272</v>
      </c>
      <c r="AJ41" s="6">
        <f t="shared" si="21"/>
        <v>0</v>
      </c>
      <c r="AK41" s="6">
        <f t="shared" si="22"/>
        <v>0.17961123185969724</v>
      </c>
      <c r="AL41" s="6">
        <f t="shared" si="23"/>
        <v>0.13389346288682943</v>
      </c>
      <c r="AM41" s="6">
        <f t="shared" si="24"/>
        <v>6.3049116423933311</v>
      </c>
      <c r="AN41" s="6">
        <f t="shared" si="25"/>
        <v>1.5239256324289272</v>
      </c>
      <c r="AO41" s="6">
        <f t="shared" si="26"/>
        <v>0</v>
      </c>
      <c r="AP41" s="6">
        <f t="shared" si="27"/>
        <v>0.17961123185969724</v>
      </c>
      <c r="AQ41" s="6">
        <f t="shared" si="28"/>
        <v>0.13389346288682943</v>
      </c>
      <c r="AR41" s="6">
        <f t="shared" si="29"/>
        <v>6.3049116423933311</v>
      </c>
      <c r="AS41" s="6">
        <f t="shared" si="30"/>
        <v>1.5239256324289272</v>
      </c>
      <c r="AT41" s="6">
        <f t="shared" si="31"/>
        <v>0.25453736105200875</v>
      </c>
      <c r="AU41" s="6">
        <f t="shared" si="32"/>
        <v>0.1178608903463496</v>
      </c>
      <c r="AV41" s="6">
        <f t="shared" si="33"/>
        <v>4.1372830197390744</v>
      </c>
      <c r="AW41" s="6">
        <f t="shared" si="34"/>
        <v>0.1178608903463496</v>
      </c>
      <c r="AX41" s="6" t="s">
        <v>116</v>
      </c>
      <c r="AY41" s="31"/>
    </row>
    <row r="42" spans="1:51" ht="16.5" thickBot="1">
      <c r="A42" s="108">
        <f>6744.5/3.281</f>
        <v>2055.6232855836633</v>
      </c>
      <c r="B42" s="52">
        <f>6747/3.281</f>
        <v>2056.385248399878</v>
      </c>
      <c r="C42" s="58">
        <v>18.48263723951327</v>
      </c>
      <c r="D42" s="58">
        <v>18.48263723951327</v>
      </c>
      <c r="E42" s="58">
        <v>18.48263723951327</v>
      </c>
      <c r="F42" s="53">
        <v>0.14312790304580281</v>
      </c>
      <c r="G42" s="54">
        <f>F42*1000+(1-F42)*2650</f>
        <v>2413.8389599744251</v>
      </c>
      <c r="H42" s="54">
        <v>2650</v>
      </c>
      <c r="I42" s="55">
        <v>0.1</v>
      </c>
      <c r="J42" s="55">
        <v>0.44</v>
      </c>
      <c r="K42" s="54" t="s">
        <v>55</v>
      </c>
      <c r="L42" s="52">
        <v>1010</v>
      </c>
      <c r="M42" s="56">
        <f t="shared" si="5"/>
        <v>0.76196281621469097</v>
      </c>
      <c r="N42" s="57">
        <v>0</v>
      </c>
      <c r="O42" s="53">
        <f t="shared" si="6"/>
        <v>0.14312790304580281</v>
      </c>
      <c r="P42" s="57">
        <f t="shared" si="7"/>
        <v>0.20960273546660993</v>
      </c>
      <c r="Q42" s="58">
        <f t="shared" si="8"/>
        <v>18.48263723951327</v>
      </c>
      <c r="R42" s="57">
        <f t="shared" si="9"/>
        <v>1</v>
      </c>
      <c r="S42" s="53">
        <f t="shared" si="10"/>
        <v>0.03</v>
      </c>
      <c r="T42" s="48" t="str">
        <f t="shared" si="35"/>
        <v xml:space="preserve">  OIL</v>
      </c>
      <c r="U42" s="59">
        <f t="shared" si="11"/>
        <v>-6.3049116423933311</v>
      </c>
      <c r="V42" s="59">
        <f t="shared" si="12"/>
        <v>2650</v>
      </c>
      <c r="W42" s="57" t="str">
        <f t="shared" si="13"/>
        <v>SS</v>
      </c>
      <c r="X42" s="57"/>
      <c r="Y42" s="57"/>
      <c r="Z42" s="58">
        <f t="shared" si="14"/>
        <v>-1045.6232855836633</v>
      </c>
      <c r="AA42" s="10">
        <f t="shared" si="15"/>
        <v>4</v>
      </c>
      <c r="AB42" s="51" t="b">
        <f t="shared" si="36"/>
        <v>1</v>
      </c>
      <c r="AC42" s="51" t="b">
        <f t="shared" si="37"/>
        <v>1</v>
      </c>
      <c r="AD42" s="51" t="b">
        <f t="shared" si="38"/>
        <v>1</v>
      </c>
      <c r="AE42" s="6">
        <f t="shared" si="16"/>
        <v>0</v>
      </c>
      <c r="AF42" s="6">
        <f t="shared" si="17"/>
        <v>0.10905814008368316</v>
      </c>
      <c r="AG42" s="6">
        <f t="shared" si="18"/>
        <v>8.6199255597242425E-2</v>
      </c>
      <c r="AH42" s="6">
        <f t="shared" si="19"/>
        <v>14.083082322094054</v>
      </c>
      <c r="AI42" s="6">
        <f t="shared" si="20"/>
        <v>0.76196281621469097</v>
      </c>
      <c r="AJ42" s="6">
        <f t="shared" si="21"/>
        <v>0</v>
      </c>
      <c r="AK42" s="6">
        <f t="shared" si="22"/>
        <v>0.10905814008368316</v>
      </c>
      <c r="AL42" s="6">
        <f t="shared" si="23"/>
        <v>8.6199255597242425E-2</v>
      </c>
      <c r="AM42" s="6">
        <f t="shared" si="24"/>
        <v>14.083082322094054</v>
      </c>
      <c r="AN42" s="6">
        <f t="shared" si="25"/>
        <v>0.76196281621469097</v>
      </c>
      <c r="AO42" s="6">
        <f t="shared" si="26"/>
        <v>0</v>
      </c>
      <c r="AP42" s="6">
        <f t="shared" si="27"/>
        <v>0.10905814008368316</v>
      </c>
      <c r="AQ42" s="6">
        <f t="shared" si="28"/>
        <v>8.6199255597242425E-2</v>
      </c>
      <c r="AR42" s="6">
        <f t="shared" si="29"/>
        <v>14.083082322094054</v>
      </c>
      <c r="AS42" s="6">
        <f t="shared" si="30"/>
        <v>0.76196281621469097</v>
      </c>
      <c r="AT42" s="6">
        <f t="shared" si="31"/>
        <v>0.20960273546660993</v>
      </c>
      <c r="AU42" s="6">
        <f t="shared" si="32"/>
        <v>0.14312790304580281</v>
      </c>
      <c r="AV42" s="6">
        <f t="shared" si="33"/>
        <v>18.48263723951327</v>
      </c>
      <c r="AW42" s="6">
        <f t="shared" si="34"/>
        <v>0.14312790304580281</v>
      </c>
      <c r="AX42" s="6" t="s">
        <v>116</v>
      </c>
      <c r="AY42" s="31"/>
    </row>
    <row r="43" spans="1:51" ht="16.5" thickBot="1">
      <c r="A43" s="108">
        <f>6747/3.281</f>
        <v>2056.385248399878</v>
      </c>
      <c r="B43" s="52">
        <f>6750/3.281</f>
        <v>2057.2996037793355</v>
      </c>
      <c r="C43" s="58">
        <v>123.65330446522979</v>
      </c>
      <c r="D43" s="58">
        <v>123.65330446522979</v>
      </c>
      <c r="E43" s="58">
        <v>123.65330446522979</v>
      </c>
      <c r="F43" s="53">
        <v>0.180221263250815</v>
      </c>
      <c r="G43" s="54">
        <f>F43*1000+(1-F43)*2650</f>
        <v>2352.6349156361553</v>
      </c>
      <c r="H43" s="54">
        <v>2650</v>
      </c>
      <c r="I43" s="55">
        <v>0.15</v>
      </c>
      <c r="J43" s="55">
        <v>0.32</v>
      </c>
      <c r="K43" s="54" t="s">
        <v>55</v>
      </c>
      <c r="L43" s="52">
        <v>1010</v>
      </c>
      <c r="M43" s="56">
        <f t="shared" si="5"/>
        <v>0.91435537945744727</v>
      </c>
      <c r="N43" s="57">
        <v>0</v>
      </c>
      <c r="O43" s="53">
        <f t="shared" si="6"/>
        <v>0.180221263250815</v>
      </c>
      <c r="P43" s="57">
        <f t="shared" si="7"/>
        <v>0.16646204481570426</v>
      </c>
      <c r="Q43" s="58">
        <f t="shared" si="8"/>
        <v>123.65330446522979</v>
      </c>
      <c r="R43" s="57">
        <f t="shared" si="9"/>
        <v>1</v>
      </c>
      <c r="S43" s="53">
        <f t="shared" si="10"/>
        <v>3.0000000000000002E-2</v>
      </c>
      <c r="T43" s="48" t="str">
        <f t="shared" si="35"/>
        <v xml:space="preserve">  OIL</v>
      </c>
      <c r="U43" s="59">
        <f t="shared" si="11"/>
        <v>-20.387993964487386</v>
      </c>
      <c r="V43" s="59">
        <f t="shared" si="12"/>
        <v>2650</v>
      </c>
      <c r="W43" s="57" t="str">
        <f t="shared" si="13"/>
        <v>SS</v>
      </c>
      <c r="X43" s="57"/>
      <c r="Y43" s="57"/>
      <c r="Z43" s="58">
        <f t="shared" si="14"/>
        <v>-1046.385248399878</v>
      </c>
      <c r="AA43" s="10">
        <f t="shared" si="15"/>
        <v>5</v>
      </c>
      <c r="AB43" s="51" t="b">
        <f t="shared" si="36"/>
        <v>1</v>
      </c>
      <c r="AC43" s="51" t="b">
        <f t="shared" si="37"/>
        <v>1</v>
      </c>
      <c r="AD43" s="51" t="b">
        <f t="shared" si="38"/>
        <v>1</v>
      </c>
      <c r="AE43" s="6">
        <f t="shared" si="16"/>
        <v>0</v>
      </c>
      <c r="AF43" s="6">
        <f t="shared" si="17"/>
        <v>0.16478628154599945</v>
      </c>
      <c r="AG43" s="6">
        <f t="shared" si="18"/>
        <v>0.13735562016227604</v>
      </c>
      <c r="AH43" s="6">
        <f t="shared" si="19"/>
        <v>113.06306412547245</v>
      </c>
      <c r="AI43" s="6">
        <f t="shared" si="20"/>
        <v>0.91435537945744727</v>
      </c>
      <c r="AJ43" s="6">
        <f t="shared" si="21"/>
        <v>0</v>
      </c>
      <c r="AK43" s="6">
        <f t="shared" si="22"/>
        <v>0.16478628154599945</v>
      </c>
      <c r="AL43" s="6">
        <f t="shared" si="23"/>
        <v>0.13735562016227604</v>
      </c>
      <c r="AM43" s="6">
        <f t="shared" si="24"/>
        <v>113.06306412547245</v>
      </c>
      <c r="AN43" s="6">
        <f t="shared" si="25"/>
        <v>0.91435537945744727</v>
      </c>
      <c r="AO43" s="6">
        <f t="shared" si="26"/>
        <v>0</v>
      </c>
      <c r="AP43" s="6">
        <f t="shared" si="27"/>
        <v>0.16478628154599945</v>
      </c>
      <c r="AQ43" s="6">
        <f t="shared" si="28"/>
        <v>0.13735562016227604</v>
      </c>
      <c r="AR43" s="6">
        <f t="shared" si="29"/>
        <v>113.06306412547245</v>
      </c>
      <c r="AS43" s="6">
        <f t="shared" si="30"/>
        <v>0.91435537945744727</v>
      </c>
      <c r="AT43" s="6">
        <f t="shared" si="31"/>
        <v>0.16646204481570426</v>
      </c>
      <c r="AU43" s="6">
        <f t="shared" si="32"/>
        <v>0.180221263250815</v>
      </c>
      <c r="AV43" s="6">
        <f t="shared" si="33"/>
        <v>123.65330446522979</v>
      </c>
      <c r="AW43" s="6">
        <f t="shared" si="34"/>
        <v>0.180221263250815</v>
      </c>
      <c r="AX43" s="6" t="s">
        <v>116</v>
      </c>
      <c r="AY43" s="31"/>
    </row>
    <row r="44" spans="1:51" ht="16.5" thickBot="1">
      <c r="A44" s="108">
        <f>6750/3.281</f>
        <v>2057.2996037793355</v>
      </c>
      <c r="B44" s="52">
        <f>6752/3.281</f>
        <v>2057.909174032307</v>
      </c>
      <c r="C44" s="58">
        <v>48.722423364518519</v>
      </c>
      <c r="D44" s="58">
        <v>48.722423364518519</v>
      </c>
      <c r="E44" s="58">
        <v>48.722423364518519</v>
      </c>
      <c r="F44" s="53">
        <v>0.16041553492288399</v>
      </c>
      <c r="G44" s="54">
        <f>F44*1000+(1-F44)*2650</f>
        <v>2385.3143673772415</v>
      </c>
      <c r="H44" s="54">
        <v>2650</v>
      </c>
      <c r="I44" s="55">
        <v>0.22</v>
      </c>
      <c r="J44" s="55">
        <v>0.16</v>
      </c>
      <c r="K44" s="54" t="s">
        <v>56</v>
      </c>
      <c r="L44" s="52">
        <v>1010</v>
      </c>
      <c r="M44" s="56">
        <f t="shared" si="5"/>
        <v>0.60957025297147993</v>
      </c>
      <c r="N44" s="57">
        <v>0</v>
      </c>
      <c r="O44" s="53">
        <f t="shared" si="6"/>
        <v>0.16041553492288399</v>
      </c>
      <c r="P44" s="57">
        <f t="shared" si="7"/>
        <v>0.18701430640381431</v>
      </c>
      <c r="Q44" s="58">
        <f t="shared" si="8"/>
        <v>48.722423364518519</v>
      </c>
      <c r="R44" s="57">
        <f t="shared" si="9"/>
        <v>1</v>
      </c>
      <c r="S44" s="53">
        <f t="shared" si="10"/>
        <v>3.0000000000000002E-2</v>
      </c>
      <c r="T44" s="48" t="str">
        <f t="shared" si="35"/>
        <v xml:space="preserve">  OIL</v>
      </c>
      <c r="U44" s="59">
        <f t="shared" si="11"/>
        <v>-133.45105808995984</v>
      </c>
      <c r="V44" s="59">
        <f t="shared" si="12"/>
        <v>2650</v>
      </c>
      <c r="W44" s="57" t="str">
        <f t="shared" si="13"/>
        <v>SS,DOL</v>
      </c>
      <c r="X44" s="57"/>
      <c r="Y44" s="57"/>
      <c r="Z44" s="58">
        <f t="shared" si="14"/>
        <v>-1047.2996037793355</v>
      </c>
      <c r="AA44" s="10">
        <f t="shared" si="15"/>
        <v>6</v>
      </c>
      <c r="AB44" s="51" t="b">
        <f t="shared" si="36"/>
        <v>1</v>
      </c>
      <c r="AC44" s="51" t="b">
        <f t="shared" si="37"/>
        <v>1</v>
      </c>
      <c r="AD44" s="51" t="b">
        <f t="shared" si="38"/>
        <v>1</v>
      </c>
      <c r="AE44" s="6">
        <f t="shared" si="16"/>
        <v>0</v>
      </c>
      <c r="AF44" s="6">
        <f t="shared" si="17"/>
        <v>9.7784538203497667E-2</v>
      </c>
      <c r="AG44" s="6">
        <f t="shared" si="18"/>
        <v>7.9497430614353271E-2</v>
      </c>
      <c r="AH44" s="6">
        <f t="shared" si="19"/>
        <v>29.699739935693099</v>
      </c>
      <c r="AI44" s="6">
        <f t="shared" si="20"/>
        <v>0.60957025297147993</v>
      </c>
      <c r="AJ44" s="6">
        <f t="shared" si="21"/>
        <v>0</v>
      </c>
      <c r="AK44" s="6">
        <f t="shared" si="22"/>
        <v>9.7784538203497667E-2</v>
      </c>
      <c r="AL44" s="6">
        <f t="shared" si="23"/>
        <v>7.9497430614353271E-2</v>
      </c>
      <c r="AM44" s="6">
        <f t="shared" si="24"/>
        <v>29.699739935693099</v>
      </c>
      <c r="AN44" s="6">
        <f t="shared" si="25"/>
        <v>0.60957025297147993</v>
      </c>
      <c r="AO44" s="6">
        <f t="shared" si="26"/>
        <v>0</v>
      </c>
      <c r="AP44" s="6">
        <f t="shared" si="27"/>
        <v>9.7784538203497667E-2</v>
      </c>
      <c r="AQ44" s="6">
        <f t="shared" si="28"/>
        <v>7.9497430614353271E-2</v>
      </c>
      <c r="AR44" s="6">
        <f t="shared" si="29"/>
        <v>29.699739935693099</v>
      </c>
      <c r="AS44" s="6">
        <f t="shared" si="30"/>
        <v>0.60957025297147993</v>
      </c>
      <c r="AT44" s="6">
        <f t="shared" si="31"/>
        <v>0.18701430640381431</v>
      </c>
      <c r="AU44" s="6">
        <f t="shared" si="32"/>
        <v>0.16041553492288399</v>
      </c>
      <c r="AV44" s="6">
        <f t="shared" si="33"/>
        <v>48.722423364518519</v>
      </c>
      <c r="AW44" s="6">
        <f t="shared" si="34"/>
        <v>0.16041553492288399</v>
      </c>
      <c r="AX44" s="6" t="s">
        <v>116</v>
      </c>
      <c r="AY44" s="31"/>
    </row>
    <row r="45" spans="1:51" ht="16.5" thickBot="1">
      <c r="A45" s="109">
        <f>6752/3.281</f>
        <v>2057.909174032307</v>
      </c>
      <c r="B45" s="52">
        <f>6758/3.281</f>
        <v>2059.7378847912223</v>
      </c>
      <c r="C45" s="58">
        <v>4.9903078756751666</v>
      </c>
      <c r="D45" s="58">
        <v>4.9903078756751666</v>
      </c>
      <c r="E45" s="58">
        <v>4.9903078756751666</v>
      </c>
      <c r="F45" s="53">
        <v>0.1206552520400412</v>
      </c>
      <c r="G45" s="54">
        <v>2450</v>
      </c>
      <c r="H45" s="54">
        <v>2650</v>
      </c>
      <c r="I45" s="55">
        <v>0.12</v>
      </c>
      <c r="J45" s="55">
        <v>0.22</v>
      </c>
      <c r="K45" s="54" t="s">
        <v>56</v>
      </c>
      <c r="L45" s="52">
        <v>1010</v>
      </c>
      <c r="M45" s="56">
        <f t="shared" si="5"/>
        <v>1.8287107589153493</v>
      </c>
      <c r="N45" s="57">
        <v>0</v>
      </c>
      <c r="O45" s="53">
        <f t="shared" si="6"/>
        <v>0.1206552520400412</v>
      </c>
      <c r="P45" s="57">
        <f t="shared" si="7"/>
        <v>0.24864230518572092</v>
      </c>
      <c r="Q45" s="58">
        <f t="shared" si="8"/>
        <v>4.9903078756751666</v>
      </c>
      <c r="R45" s="57">
        <f t="shared" si="9"/>
        <v>1</v>
      </c>
      <c r="S45" s="53">
        <f t="shared" si="10"/>
        <v>0.03</v>
      </c>
      <c r="T45" s="48" t="str">
        <f t="shared" si="35"/>
        <v xml:space="preserve">  OIL</v>
      </c>
      <c r="U45" s="59">
        <f t="shared" si="11"/>
        <v>-163.15079802565293</v>
      </c>
      <c r="V45" s="59">
        <f t="shared" si="12"/>
        <v>2650</v>
      </c>
      <c r="W45" s="57" t="str">
        <f t="shared" si="13"/>
        <v>SS,DOL</v>
      </c>
      <c r="X45" s="57"/>
      <c r="Y45" s="57"/>
      <c r="Z45" s="58">
        <f t="shared" si="14"/>
        <v>-1047.909174032307</v>
      </c>
      <c r="AA45" s="10">
        <f t="shared" si="15"/>
        <v>7</v>
      </c>
      <c r="AB45" s="51" t="b">
        <f t="shared" si="36"/>
        <v>1</v>
      </c>
      <c r="AC45" s="51" t="b">
        <f t="shared" si="37"/>
        <v>1</v>
      </c>
      <c r="AD45" s="51" t="b">
        <f t="shared" si="38"/>
        <v>1</v>
      </c>
      <c r="AE45" s="6">
        <f t="shared" si="16"/>
        <v>0</v>
      </c>
      <c r="AF45" s="6">
        <f t="shared" si="17"/>
        <v>0.22064355752526649</v>
      </c>
      <c r="AG45" s="6">
        <f t="shared" si="18"/>
        <v>0.16578223475780601</v>
      </c>
      <c r="AH45" s="6">
        <f t="shared" si="19"/>
        <v>9.1258297025471791</v>
      </c>
      <c r="AI45" s="6">
        <f t="shared" si="20"/>
        <v>1.8287107589153493</v>
      </c>
      <c r="AJ45" s="6">
        <f t="shared" si="21"/>
        <v>0</v>
      </c>
      <c r="AK45" s="6">
        <f t="shared" si="22"/>
        <v>0.22064355752526649</v>
      </c>
      <c r="AL45" s="6">
        <f t="shared" si="23"/>
        <v>0.16578223475780601</v>
      </c>
      <c r="AM45" s="6">
        <f t="shared" si="24"/>
        <v>9.1258297025471791</v>
      </c>
      <c r="AN45" s="6">
        <f t="shared" si="25"/>
        <v>1.8287107589153493</v>
      </c>
      <c r="AO45" s="6">
        <f t="shared" si="26"/>
        <v>0</v>
      </c>
      <c r="AP45" s="6">
        <f t="shared" si="27"/>
        <v>0.22064355752526649</v>
      </c>
      <c r="AQ45" s="6">
        <f t="shared" si="28"/>
        <v>0.16578223475780601</v>
      </c>
      <c r="AR45" s="6">
        <f t="shared" si="29"/>
        <v>9.1258297025471791</v>
      </c>
      <c r="AS45" s="6">
        <f t="shared" si="30"/>
        <v>1.8287107589153493</v>
      </c>
      <c r="AT45" s="6">
        <f t="shared" si="31"/>
        <v>0.24864230518572092</v>
      </c>
      <c r="AU45" s="6">
        <f t="shared" si="32"/>
        <v>0.1206552520400412</v>
      </c>
      <c r="AV45" s="6">
        <f t="shared" si="33"/>
        <v>4.9903078756751666</v>
      </c>
      <c r="AW45" s="6">
        <f t="shared" si="34"/>
        <v>0.1206552520400412</v>
      </c>
      <c r="AX45" s="6" t="s">
        <v>116</v>
      </c>
      <c r="AY45" s="31"/>
    </row>
    <row r="46" spans="1:51" ht="17.25" thickTop="1" thickBot="1">
      <c r="A46" s="90"/>
      <c r="B46" s="60"/>
      <c r="C46" s="60"/>
      <c r="D46" s="60"/>
      <c r="E46" s="60"/>
      <c r="F46" s="60"/>
      <c r="G46" s="60"/>
      <c r="H46" s="60"/>
      <c r="I46" s="60"/>
      <c r="J46" s="60"/>
      <c r="K46" s="60" t="s">
        <v>139</v>
      </c>
      <c r="L46" s="60"/>
      <c r="M46" s="16"/>
      <c r="N46" s="61"/>
      <c r="O46" s="61"/>
      <c r="P46" s="61" t="s">
        <v>80</v>
      </c>
      <c r="Q46" s="61"/>
      <c r="R46" s="61"/>
      <c r="S46" s="61"/>
      <c r="T46" s="61"/>
      <c r="U46" s="61"/>
      <c r="V46" s="61"/>
      <c r="W46" s="61" t="str">
        <f t="shared" si="13"/>
        <v>MORE===&gt;</v>
      </c>
      <c r="X46" s="61"/>
      <c r="Y46" s="61"/>
      <c r="Z46" s="61"/>
      <c r="AA46" s="62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 t="s">
        <v>116</v>
      </c>
      <c r="AY46" s="31"/>
    </row>
    <row r="47" spans="1:51" ht="15.75">
      <c r="A47" s="63"/>
      <c r="B47" s="64"/>
      <c r="C47" s="64" t="s">
        <v>23</v>
      </c>
      <c r="D47" s="64"/>
      <c r="E47" s="64"/>
      <c r="F47" s="64"/>
      <c r="G47" s="64"/>
      <c r="H47" s="64"/>
      <c r="I47" s="64"/>
      <c r="J47" s="64"/>
      <c r="K47" s="64"/>
      <c r="L47" s="64"/>
      <c r="M47" s="16"/>
      <c r="N47" s="16" t="s">
        <v>74</v>
      </c>
      <c r="O47" s="17"/>
      <c r="P47" s="17"/>
      <c r="Q47" s="17"/>
      <c r="R47" s="17" t="s">
        <v>87</v>
      </c>
      <c r="S47" s="17"/>
      <c r="T47" s="17"/>
      <c r="U47" s="17"/>
      <c r="V47" s="17"/>
      <c r="W47" s="17" t="s">
        <v>99</v>
      </c>
      <c r="X47" s="17"/>
      <c r="Y47" s="17"/>
      <c r="Z47" s="17"/>
      <c r="AA47" s="50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7"/>
    </row>
    <row r="48" spans="1:51" ht="15.75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35"/>
      <c r="N48" s="38" t="s">
        <v>72</v>
      </c>
      <c r="O48" s="37" t="s">
        <v>77</v>
      </c>
      <c r="P48" s="36" t="str">
        <f>IF($C$23,"  GasSat","  OilSat")</f>
        <v xml:space="preserve">  OilSat</v>
      </c>
      <c r="Q48" s="37" t="s">
        <v>82</v>
      </c>
      <c r="R48" s="37" t="s">
        <v>88</v>
      </c>
      <c r="S48" s="36" t="str">
        <f>IF($C$23,"  Gas Vol","  Oil Vol")</f>
        <v xml:space="preserve">  Oil Vol</v>
      </c>
      <c r="T48" s="37" t="s">
        <v>92</v>
      </c>
      <c r="U48" s="37" t="s">
        <v>95</v>
      </c>
      <c r="V48" s="36"/>
      <c r="W48" s="37" t="s">
        <v>72</v>
      </c>
      <c r="X48" s="37" t="s">
        <v>76</v>
      </c>
      <c r="Y48" s="37" t="s">
        <v>100</v>
      </c>
      <c r="Z48" s="37" t="s">
        <v>82</v>
      </c>
      <c r="AA48" s="10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7"/>
    </row>
    <row r="49" spans="1:51" ht="15.75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35"/>
      <c r="N49" s="38" t="s">
        <v>73</v>
      </c>
      <c r="O49" s="37" t="s">
        <v>73</v>
      </c>
      <c r="P49" s="37" t="s">
        <v>73</v>
      </c>
      <c r="Q49" s="37" t="s">
        <v>83</v>
      </c>
      <c r="R49" s="36" t="str">
        <f>"     "&amp;$L$22</f>
        <v xml:space="preserve">     meters</v>
      </c>
      <c r="S49" s="36" t="str">
        <f>"  "&amp;$L$22</f>
        <v xml:space="preserve">  meters</v>
      </c>
      <c r="T49" s="36" t="str">
        <f>"      "&amp;$L$32</f>
        <v xml:space="preserve">      md-m</v>
      </c>
      <c r="U49" s="36" t="str">
        <f>"   "&amp;$L$22</f>
        <v xml:space="preserve">   meters</v>
      </c>
      <c r="V49" s="36"/>
      <c r="W49" s="37" t="s">
        <v>73</v>
      </c>
      <c r="X49" s="37" t="s">
        <v>73</v>
      </c>
      <c r="Y49" s="37" t="s">
        <v>73</v>
      </c>
      <c r="Z49" s="37" t="s">
        <v>83</v>
      </c>
      <c r="AA49" s="10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7"/>
    </row>
    <row r="50" spans="1:51" ht="15.75">
      <c r="A50" s="63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35"/>
      <c r="N50" s="65">
        <f>IF(U50&gt;0,SUM(AE39:AE46)/U50,0)</f>
        <v>0</v>
      </c>
      <c r="O50" s="44">
        <f>IF(U50&gt;0,R50/U50,0)</f>
        <v>8.7968840859873706E-2</v>
      </c>
      <c r="P50" s="48">
        <f>IF(R50&gt;0,S50/R50,1)</f>
        <v>0.726897815302888</v>
      </c>
      <c r="Q50" s="43">
        <f>IF(U50&gt;0,T50/U50,0)</f>
        <v>17.667956736756324</v>
      </c>
      <c r="R50" s="48">
        <f>SUM(AF39:AF46)</f>
        <v>0.85797101722525726</v>
      </c>
      <c r="S50" s="48">
        <f>SUM(AG39:AG46)</f>
        <v>0.62365725801423599</v>
      </c>
      <c r="T50" s="43">
        <f>SUM(AH39:AH46)</f>
        <v>172.31777372027568</v>
      </c>
      <c r="U50" s="43">
        <f>SUM(AI39:AI46)</f>
        <v>9.7531240475468621</v>
      </c>
      <c r="V50" s="48"/>
      <c r="W50" s="48">
        <f>$O$6</f>
        <v>1</v>
      </c>
      <c r="X50" s="48">
        <f>$P$6</f>
        <v>0</v>
      </c>
      <c r="Y50" s="48">
        <f>$Q$6</f>
        <v>1</v>
      </c>
      <c r="Z50" s="48">
        <f>$R$6</f>
        <v>0</v>
      </c>
      <c r="AA50" s="10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7"/>
    </row>
    <row r="51" spans="1:51" ht="15.75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35"/>
      <c r="N51" s="66">
        <f>IF(U51&gt;0,SUM(AJ39:AJ46)/U51,0)</f>
        <v>0</v>
      </c>
      <c r="O51" s="53">
        <f>IF(U51&gt;0,R51/U51,0)</f>
        <v>0.13689462600998334</v>
      </c>
      <c r="P51" s="57">
        <f>IF(R51&gt;0,S51/R51,1)</f>
        <v>0.78085334045317323</v>
      </c>
      <c r="Q51" s="58">
        <f>IF(U51&gt;0,T51/U51,0)</f>
        <v>30.553492733849509</v>
      </c>
      <c r="R51" s="57">
        <f>SUM(AK38:AK47)</f>
        <v>0.77188374921814407</v>
      </c>
      <c r="S51" s="57">
        <f>SUM(AL39:AL46)</f>
        <v>0.60272800401850724</v>
      </c>
      <c r="T51" s="58">
        <f>SUM(AM39:AM46)</f>
        <v>172.27662772820011</v>
      </c>
      <c r="U51" s="58">
        <f>SUM(AN39:AN46)</f>
        <v>5.6385248399878947</v>
      </c>
      <c r="V51" s="57"/>
      <c r="W51" s="57">
        <f>$O$7</f>
        <v>0.4</v>
      </c>
      <c r="X51" s="57">
        <f>$P$7</f>
        <v>0.08</v>
      </c>
      <c r="Y51" s="57">
        <f>$Q$7</f>
        <v>0.6</v>
      </c>
      <c r="Z51" s="57">
        <f>$R$7</f>
        <v>1</v>
      </c>
      <c r="AA51" s="10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7"/>
    </row>
    <row r="52" spans="1:51" ht="15.75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35"/>
      <c r="N52" s="66">
        <f>IF(U52&gt;0,SUM(AO39:AO46)/U52,0)</f>
        <v>0</v>
      </c>
      <c r="O52" s="53">
        <f>IF(U52&gt;0,R52/U52,0)</f>
        <v>0.13689462600998334</v>
      </c>
      <c r="P52" s="57">
        <f>IF(R52&gt;0,S52/R52,1)</f>
        <v>0.78085334045317323</v>
      </c>
      <c r="Q52" s="58">
        <f>IF(U52&gt;0,T52/U52,0)</f>
        <v>30.553492733849509</v>
      </c>
      <c r="R52" s="57">
        <f>SUM(AP39:AP47)</f>
        <v>0.77188374921814407</v>
      </c>
      <c r="S52" s="57">
        <f>SUM(AQ39:AQ46)</f>
        <v>0.60272800401850724</v>
      </c>
      <c r="T52" s="58">
        <f>SUM(AR39:AR46)</f>
        <v>172.27662772820011</v>
      </c>
      <c r="U52" s="58">
        <f>SUM(AS39:AS46)</f>
        <v>5.6385248399878947</v>
      </c>
      <c r="V52" s="57"/>
      <c r="W52" s="57">
        <f>$O$8</f>
        <v>0.25</v>
      </c>
      <c r="X52" s="57">
        <f>$P$8</f>
        <v>0.1</v>
      </c>
      <c r="Y52" s="57">
        <f>$Q$8</f>
        <v>0.3</v>
      </c>
      <c r="Z52" s="57">
        <f>$R$8</f>
        <v>2</v>
      </c>
      <c r="AA52" s="10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7"/>
    </row>
    <row r="53" spans="1:51" ht="15.75">
      <c r="A53" s="63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35"/>
      <c r="N53" s="66"/>
      <c r="O53" s="53"/>
      <c r="P53" s="57"/>
      <c r="Q53" s="58"/>
      <c r="R53" s="57"/>
      <c r="S53" s="57"/>
      <c r="T53" s="58"/>
      <c r="U53" s="58"/>
      <c r="V53" s="57"/>
      <c r="W53" s="57"/>
      <c r="X53" s="57"/>
      <c r="Y53" s="57"/>
      <c r="Z53" s="57"/>
      <c r="AA53" s="10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7"/>
    </row>
    <row r="54" spans="1:51" ht="15.75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35"/>
      <c r="N54" s="67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10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7"/>
    </row>
    <row r="55" spans="1:51" ht="15.75">
      <c r="A55" s="6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35"/>
      <c r="N55" s="68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10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7"/>
    </row>
    <row r="56" spans="1:51" ht="15.75">
      <c r="A56" s="63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35"/>
      <c r="N56" s="68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10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7"/>
    </row>
    <row r="57" spans="1:51" ht="15.75">
      <c r="A57" s="6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35"/>
      <c r="N57" s="68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10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7"/>
    </row>
    <row r="58" spans="1:51" ht="15.75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35"/>
      <c r="N58" s="68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10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7"/>
    </row>
    <row r="59" spans="1:51" ht="15.75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35"/>
      <c r="N59" s="68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10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7"/>
    </row>
    <row r="60" spans="1:51" ht="15.75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35"/>
      <c r="N60" s="68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10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7"/>
    </row>
    <row r="61" spans="1:51" ht="15.75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35"/>
      <c r="N61" s="68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10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7"/>
    </row>
    <row r="62" spans="1:51" ht="15.75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35"/>
      <c r="N62" s="68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10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7"/>
    </row>
    <row r="63" spans="1:51" ht="15.75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35"/>
      <c r="N63" s="68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10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7"/>
    </row>
    <row r="64" spans="1:51" ht="15.75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35"/>
      <c r="N64" s="68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10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7"/>
    </row>
    <row r="65" spans="1:51" ht="15.75">
      <c r="A65" s="6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35"/>
      <c r="N65" s="68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10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7"/>
    </row>
    <row r="66" spans="1:51" ht="15.75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35"/>
      <c r="N66" s="68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10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7"/>
    </row>
    <row r="67" spans="1:51" ht="15.75">
      <c r="A67" s="50"/>
      <c r="B67" s="51" t="s">
        <v>17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0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10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7"/>
    </row>
    <row r="68" spans="1:51" ht="15.7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7"/>
    </row>
    <row r="69" spans="1:51" ht="15.7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7"/>
    </row>
    <row r="70" spans="1:51" ht="15.7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7"/>
    </row>
    <row r="71" spans="1:51" ht="15.7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7"/>
    </row>
    <row r="72" spans="1:51" ht="15.7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7"/>
    </row>
    <row r="73" spans="1:51" ht="15.7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7"/>
    </row>
    <row r="74" spans="1:51" ht="15.7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7"/>
    </row>
    <row r="75" spans="1:51" ht="15.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7"/>
    </row>
    <row r="76" spans="1:51" ht="15.7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7"/>
    </row>
    <row r="77" spans="1:51" ht="15.7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7"/>
    </row>
    <row r="78" spans="1:51" ht="15.7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7"/>
    </row>
    <row r="79" spans="1:51" ht="15.7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7"/>
    </row>
    <row r="80" spans="1:51" ht="15.7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7"/>
    </row>
    <row r="81" spans="1:51" ht="15.7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7"/>
    </row>
    <row r="82" spans="1:51" ht="15.7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7"/>
    </row>
    <row r="83" spans="1:51" ht="15.7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7"/>
    </row>
    <row r="84" spans="1:51" ht="15.7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7"/>
    </row>
    <row r="85" spans="1:51" ht="15.7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7"/>
    </row>
    <row r="86" spans="1:51" ht="15.7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7"/>
    </row>
    <row r="87" spans="1:51" ht="15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7"/>
    </row>
    <row r="88" spans="1:51" ht="15.7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7"/>
    </row>
    <row r="89" spans="1:51" ht="15.7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7"/>
    </row>
  </sheetData>
  <mergeCells count="1">
    <mergeCell ref="H5:J5"/>
  </mergeCells>
  <phoneticPr fontId="0" type="noConversion"/>
  <hyperlinks>
    <hyperlink ref="H5" r:id="rId1"/>
  </hyperlinks>
  <pageMargins left="0.22" right="0.55000000000000004" top="0.22" bottom="0.57499999999999996" header="0" footer="0"/>
  <pageSetup paperSize="9" scale="48" fitToWidth="2" orientation="landscape" horizontalDpi="360" verticalDpi="360" r:id="rId2"/>
  <headerFooter alignWithMargins="0"/>
  <colBreaks count="1" manualBreakCount="1">
    <brk id="26" max="7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A</vt:lpstr>
      <vt:lpstr>ANSWERS</vt:lpstr>
      <vt:lpstr>HEADER</vt:lpstr>
      <vt:lpstr>LOGO</vt:lpstr>
      <vt:lpstr>PARAMETERS</vt:lpstr>
      <vt:lpstr>A!Print_Area</vt:lpstr>
      <vt:lpstr>RAW_DATA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2003-05-27T22:31:39Z</cp:lastPrinted>
  <dcterms:created xsi:type="dcterms:W3CDTF">2003-05-28T16:33:49Z</dcterms:created>
  <dcterms:modified xsi:type="dcterms:W3CDTF">2018-10-06T16:45:23Z</dcterms:modified>
</cp:coreProperties>
</file>