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HorizontalScroll="0" showVerticalScroll="0" showSheetTabs="0" xWindow="360" yWindow="300" windowWidth="14895" windowHeight="9090"/>
  </bookViews>
  <sheets>
    <sheet name="4metakwikm" sheetId="1" r:id="rId1"/>
  </sheets>
  <definedNames>
    <definedName name="_C">'4metakwikm'!$F$79:$F$79</definedName>
    <definedName name="A">'4metakwikm'!$E$25:$E$25</definedName>
    <definedName name="AREA">'4metakwikm'!$I$104:$I$104</definedName>
    <definedName name="AREAG">'4metakwikm'!$G$118:$G$118</definedName>
    <definedName name="BASE">'4metakwikm'!$F$47:$F$47</definedName>
    <definedName name="BG">'4metakwikm'!$H$120:$H$120</definedName>
    <definedName name="BHT">'4metakwikm'!$I$34:$I$34</definedName>
    <definedName name="BHTDEPTH">'4metakwikm'!$I$35:$I$35</definedName>
    <definedName name="BO">'4metakwikm'!$E$104:$E$104</definedName>
    <definedName name="CAL">'4metakwikm'!$F$55:$F$55</definedName>
    <definedName name="CPERM">'4metakwikm'!$F$89:$F$89</definedName>
    <definedName name="D">'4metakwikm'!$F$80:$F$80</definedName>
    <definedName name="DELT">'4metakwikm'!$F$51:$F$51</definedName>
    <definedName name="DELTMA">'4metakwikm'!$I$65:$I$65</definedName>
    <definedName name="DELTSH">'4metakwikm'!$F$18:$F$18</definedName>
    <definedName name="DELTW">'4metakwikm'!$F$65:$F$65</definedName>
    <definedName name="DENS">'4metakwikm'!$C$44:$C$44</definedName>
    <definedName name="DENSHY">'4metakwikm'!$E$131:$E$131</definedName>
    <definedName name="DENSMA">'4metakwikm'!$I$131:$I$131</definedName>
    <definedName name="DENSSH">'4metakwikm'!$G$131:$G$131</definedName>
    <definedName name="DENSW">'4metakwikm'!$K$131:$K$131</definedName>
    <definedName name="DEPTH">'4metakwikm'!$F$35:$F$35</definedName>
    <definedName name="DPERM">'4metakwikm'!$I$89:$I$89</definedName>
    <definedName name="E">'4metakwikm'!$F$81:$F$81</definedName>
    <definedName name="EPERM">'4metakwikm'!$L$89:$L$89</definedName>
    <definedName name="FT">'4metakwikm'!$H$39:$H$39</definedName>
    <definedName name="GR">'4metakwikm'!$F$52:$F$52</definedName>
    <definedName name="GR_0">'4metakwikm'!$F$12:$F$12</definedName>
    <definedName name="GR_100">'4metakwikm'!$F$13:$F$13</definedName>
    <definedName name="GRAD">'4metakwikm'!$H$38:$H$38</definedName>
    <definedName name="HPV">'4metakwikm'!$F$97:$F$97</definedName>
    <definedName name="KBUCKL">'4metakwikm'!$H$86:$H$86</definedName>
    <definedName name="KH">'4metakwikm'!$F$98:$F$98</definedName>
    <definedName name="KT_1">'4metakwikm'!$L$36:$L$36</definedName>
    <definedName name="KT_2">'4metakwikm'!$J$117:$J$117</definedName>
    <definedName name="KV_1">'4metakwikm'!$K$109:$K$109</definedName>
    <definedName name="KV_2">'4metakwikm'!$J$124:$J$124</definedName>
    <definedName name="KV_3">'4metakwikm'!$K$104:$K$104</definedName>
    <definedName name="KV_4">'4metakwikm'!$J$118:$J$118</definedName>
    <definedName name="KY_2">'4metakwikm'!$J$124:$J$124</definedName>
    <definedName name="M">'4metakwikm'!$G$25:$G$25</definedName>
    <definedName name="N">'4metakwikm'!$I$25:$I$25</definedName>
    <definedName name="NETPAY">'4metakwikm'!$F$99:$F$99</definedName>
    <definedName name="PE">'4metakwikm'!$F$54:$F$54</definedName>
    <definedName name="PERM">'4metakwikm'!$F$91:$F$91</definedName>
    <definedName name="PESH">'4metakwikm'!$F$19:$F$19</definedName>
    <definedName name="PF">'4metakwikm'!$E$116:$E$116</definedName>
    <definedName name="PF_PS">'4metakwikm'!$E$109:$E$109</definedName>
    <definedName name="PHID">'4metakwikm'!$F$50:$F$50</definedName>
    <definedName name="PHIDC">'4metakwikm'!$F$68:$F$68</definedName>
    <definedName name="PHIDSH">'4metakwikm'!$F$17:$F$17</definedName>
    <definedName name="PHIDWTR">'4metakwikm'!$G$28:$G$28</definedName>
    <definedName name="PHIE">'4metakwikm'!$F$71:$F$71</definedName>
    <definedName name="PHIN">'4metakwikm'!$F$49:$F$49</definedName>
    <definedName name="PHINC">'4metakwikm'!$F$67:$F$67</definedName>
    <definedName name="PHINS">'4metakwikm'!$F$67:$F$67</definedName>
    <definedName name="PHINSH">'4metakwikm'!$F$16:$F$16</definedName>
    <definedName name="PHINWTR">'4metakwikm'!$G$27:$G$27</definedName>
    <definedName name="PHIT">'4metakwikm'!$F$74:$F$74</definedName>
    <definedName name="PHIWTR">'4metakwikm'!$H$30:$H$30</definedName>
    <definedName name="PHIXDN">'4metakwikm'!$F$69:$F$69</definedName>
    <definedName name="PS">'4metakwikm'!$G$116:$G$116</definedName>
    <definedName name="PV">'4metakwikm'!$F$96:$F$96</definedName>
    <definedName name="QG">'4metakwikm'!$F$126:$F$126</definedName>
    <definedName name="QO">'4metakwikm'!$F$111:$F$111</definedName>
    <definedName name="RESD">'4metakwikm'!$F$48:$F$48</definedName>
    <definedName name="RF">'4metakwikm'!$G$104:$G$104</definedName>
    <definedName name="RFG">'4metakwikm'!$E$118:$E$118</definedName>
    <definedName name="RGAS">'4metakwikm'!$F$121:$F$121</definedName>
    <definedName name="RO">'4metakwikm'!$G$26:$G$26</definedName>
    <definedName name="ROIL">'4metakwikm'!$F$106:$F$106</definedName>
    <definedName name="RSH">'4metakwikm'!$F$20:$F$20</definedName>
    <definedName name="RTAR">'4metakwikm'!$F$141:$F$141</definedName>
    <definedName name="RW">'4metakwikm'!$H$42:$H$42</definedName>
    <definedName name="RW_1">'4metakwikm'!$H$31:$H$31</definedName>
    <definedName name="RW_2">'4metakwikm'!$H$40:$H$40</definedName>
    <definedName name="RWA">'4metakwikm'!$F$75:$F$75</definedName>
    <definedName name="RWCAT">'4metakwikm'!$F$36:$F$36</definedName>
    <definedName name="SP">'4metakwikm'!$F$53:$F$53</definedName>
    <definedName name="SP_0">'4metakwikm'!$F$14:$F$14</definedName>
    <definedName name="SP_100">'4metakwikm'!$F$15:$F$15</definedName>
    <definedName name="SUFT">'4metakwikm'!$F$34:$F$34</definedName>
    <definedName name="SW">'4metakwikm'!$F$83:$F$83</definedName>
    <definedName name="SWA">'4metakwikm'!$F$76:$F$76</definedName>
    <definedName name="SWIR">'4metakwikm'!$F$87:$F$87</definedName>
    <definedName name="SWS">'4metakwikm'!$F$82:$F$82</definedName>
    <definedName name="TARFRAC">'4metakwikm'!$F$138:$F$138</definedName>
    <definedName name="TARPC">'4metakwikm'!$F$139:$F$139</definedName>
    <definedName name="TF">'4metakwikm'!$E$117:$E$117</definedName>
    <definedName name="THICK">'4metakwikm'!$F$95:$F$95</definedName>
    <definedName name="TOP">'4metakwikm'!$F$46:$F$46</definedName>
    <definedName name="TRW">'4metakwikm'!$I$36:$I$36</definedName>
    <definedName name="TS">'4metakwikm'!$G$117:$G$117</definedName>
    <definedName name="VISO">'4metakwikm'!$H$109:$H$109</definedName>
    <definedName name="VSH">'4metakwikm'!$F$63:$F$63</definedName>
    <definedName name="VSHG">'4metakwikm'!$F$60:$F$60</definedName>
    <definedName name="VSHS">'4metakwikm'!$F$61:$F$61</definedName>
    <definedName name="VSHX">'4metakwikm'!$F$62:$F$62</definedName>
    <definedName name="WTROCK">'4metakwikm'!$F$137:$F$137</definedName>
    <definedName name="WTSH">'4metakwikm'!$F$134:$F$134</definedName>
    <definedName name="WTSND">'4metakwikm'!$F$135:$F$135</definedName>
    <definedName name="WTTAR">'4metakwikm'!$F$133:$F$133</definedName>
    <definedName name="WTWTR">'4metakwikm'!$F$136:$F$136</definedName>
    <definedName name="ZF">'4metakwikm'!$J$116:$J$116</definedName>
  </definedNames>
  <calcPr calcId="144525" calcMode="manual" iterate="1" iterateCount="1" iterateDelta="0"/>
</workbook>
</file>

<file path=xl/calcChain.xml><?xml version="1.0" encoding="utf-8"?>
<calcChain xmlns="http://schemas.openxmlformats.org/spreadsheetml/2006/main">
  <c r="H30" i="1" l="1"/>
  <c r="H31" i="1" s="1"/>
  <c r="H38" i="1"/>
  <c r="H39" i="1" s="1"/>
  <c r="H46" i="1"/>
  <c r="L46" i="1"/>
  <c r="L47" i="1"/>
  <c r="L48" i="1"/>
  <c r="L49" i="1"/>
  <c r="L67" i="1" s="1"/>
  <c r="L50" i="1"/>
  <c r="L51" i="1"/>
  <c r="L52" i="1"/>
  <c r="L53" i="1"/>
  <c r="L61" i="1" s="1"/>
  <c r="L54" i="1"/>
  <c r="L55" i="1"/>
  <c r="F60" i="1"/>
  <c r="H60" i="1"/>
  <c r="J60" i="1"/>
  <c r="L60" i="1"/>
  <c r="F61" i="1"/>
  <c r="H61" i="1"/>
  <c r="J61" i="1"/>
  <c r="F62" i="1"/>
  <c r="H62" i="1"/>
  <c r="J62" i="1"/>
  <c r="F63" i="1"/>
  <c r="H63" i="1"/>
  <c r="H134" i="1" s="1"/>
  <c r="J63" i="1"/>
  <c r="L63" i="1"/>
  <c r="L68" i="1" s="1"/>
  <c r="F67" i="1"/>
  <c r="H67" i="1"/>
  <c r="J67" i="1"/>
  <c r="F68" i="1"/>
  <c r="H68" i="1"/>
  <c r="J68" i="1"/>
  <c r="F69" i="1"/>
  <c r="H69" i="1"/>
  <c r="J69" i="1"/>
  <c r="F70" i="1"/>
  <c r="H70" i="1"/>
  <c r="J70" i="1"/>
  <c r="F71" i="1"/>
  <c r="H71" i="1"/>
  <c r="J71" i="1"/>
  <c r="F74" i="1"/>
  <c r="H74" i="1"/>
  <c r="H75" i="1" s="1"/>
  <c r="J74" i="1"/>
  <c r="L74" i="1"/>
  <c r="F75" i="1"/>
  <c r="J75" i="1"/>
  <c r="L75" i="1"/>
  <c r="F95" i="1"/>
  <c r="H95" i="1"/>
  <c r="H96" i="1" s="1"/>
  <c r="J95" i="1"/>
  <c r="L95" i="1"/>
  <c r="F96" i="1"/>
  <c r="J96" i="1"/>
  <c r="F99" i="1"/>
  <c r="H99" i="1"/>
  <c r="J99" i="1"/>
  <c r="L99" i="1"/>
  <c r="J124" i="1"/>
  <c r="F134" i="1"/>
  <c r="J134" i="1"/>
  <c r="F135" i="1"/>
  <c r="J135" i="1"/>
  <c r="L69" i="1" l="1"/>
  <c r="L71" i="1" s="1"/>
  <c r="L96" i="1" s="1"/>
  <c r="L135" i="1"/>
  <c r="L134" i="1"/>
  <c r="L62" i="1"/>
  <c r="L70" i="1"/>
  <c r="H135" i="1"/>
  <c r="H40" i="1"/>
  <c r="H42" i="1" s="1"/>
  <c r="E117" i="1"/>
  <c r="H120" i="1" s="1"/>
  <c r="L76" i="1" l="1"/>
  <c r="L79" i="1"/>
  <c r="F76" i="1"/>
  <c r="F79" i="1"/>
  <c r="H76" i="1"/>
  <c r="H79" i="1"/>
  <c r="J76" i="1"/>
  <c r="J79" i="1"/>
  <c r="J80" i="1" l="1"/>
  <c r="J81" i="1"/>
  <c r="F80" i="1"/>
  <c r="F81" i="1"/>
  <c r="H80" i="1"/>
  <c r="H81" i="1"/>
  <c r="L80" i="1"/>
  <c r="L82" i="1" s="1"/>
  <c r="L83" i="1" s="1"/>
  <c r="L81" i="1"/>
  <c r="F82" i="1" l="1"/>
  <c r="F83" i="1" s="1"/>
  <c r="L133" i="1"/>
  <c r="L136" i="1"/>
  <c r="L97" i="1"/>
  <c r="H82" i="1"/>
  <c r="H83" i="1" s="1"/>
  <c r="J82" i="1"/>
  <c r="J83" i="1" s="1"/>
  <c r="L106" i="1" l="1"/>
  <c r="L107" i="1" s="1"/>
  <c r="L121" i="1"/>
  <c r="L122" i="1" s="1"/>
  <c r="H86" i="1"/>
  <c r="H133" i="1"/>
  <c r="H136" i="1"/>
  <c r="H97" i="1"/>
  <c r="J97" i="1"/>
  <c r="J136" i="1"/>
  <c r="J133" i="1"/>
  <c r="L137" i="1"/>
  <c r="L138" i="1" s="1"/>
  <c r="L141" i="1"/>
  <c r="F133" i="1"/>
  <c r="F136" i="1"/>
  <c r="F97" i="1"/>
  <c r="F137" i="1" l="1"/>
  <c r="F138" i="1" s="1"/>
  <c r="F141" i="1"/>
  <c r="L139" i="1"/>
  <c r="H137" i="1"/>
  <c r="H138" i="1" s="1"/>
  <c r="H141" i="1"/>
  <c r="F121" i="1"/>
  <c r="F122" i="1" s="1"/>
  <c r="F106" i="1"/>
  <c r="F107" i="1" s="1"/>
  <c r="J106" i="1"/>
  <c r="J107" i="1" s="1"/>
  <c r="J121" i="1"/>
  <c r="J122" i="1" s="1"/>
  <c r="J87" i="1"/>
  <c r="J91" i="1" s="1"/>
  <c r="J98" i="1" s="1"/>
  <c r="L87" i="1"/>
  <c r="L91" i="1" s="1"/>
  <c r="L98" i="1" s="1"/>
  <c r="F87" i="1"/>
  <c r="F91" i="1" s="1"/>
  <c r="F98" i="1" s="1"/>
  <c r="H87" i="1"/>
  <c r="H91" i="1" s="1"/>
  <c r="H98" i="1" s="1"/>
  <c r="H121" i="1"/>
  <c r="H122" i="1" s="1"/>
  <c r="H106" i="1"/>
  <c r="H107" i="1" s="1"/>
  <c r="J141" i="1"/>
  <c r="J137" i="1"/>
  <c r="J139" i="1" s="1"/>
  <c r="H139" i="1" l="1"/>
  <c r="J138" i="1"/>
  <c r="F126" i="1"/>
  <c r="F127" i="1" s="1"/>
  <c r="F111" i="1"/>
  <c r="F112" i="1" s="1"/>
  <c r="L126" i="1"/>
  <c r="L127" i="1" s="1"/>
  <c r="L111" i="1"/>
  <c r="L112" i="1" s="1"/>
  <c r="F139" i="1"/>
  <c r="J111" i="1"/>
  <c r="J112" i="1" s="1"/>
  <c r="J126" i="1"/>
  <c r="J127" i="1" s="1"/>
  <c r="H126" i="1"/>
  <c r="H127" i="1" s="1"/>
  <c r="H111" i="1"/>
  <c r="H112" i="1" s="1"/>
</calcChain>
</file>

<file path=xl/sharedStrings.xml><?xml version="1.0" encoding="utf-8"?>
<sst xmlns="http://schemas.openxmlformats.org/spreadsheetml/2006/main" count="287" uniqueCount="244">
  <si>
    <t xml:space="preserve">                                   META/KWIK      </t>
  </si>
  <si>
    <t xml:space="preserve">                         A Knowledge Based System For Formation Evaluation     </t>
  </si>
  <si>
    <t>PCP Beaverlodge 11-36</t>
  </si>
  <si>
    <t>E. R. Crain, P.Eng.</t>
  </si>
  <si>
    <t>meters</t>
  </si>
  <si>
    <t>SHALE DATA</t>
  </si>
  <si>
    <t>INSTRUCTIONS</t>
  </si>
  <si>
    <t>Gamma Ray clean line</t>
  </si>
  <si>
    <t>GR0</t>
  </si>
  <si>
    <t xml:space="preserve"> API units</t>
  </si>
  <si>
    <t>Type into BLACK cells</t>
  </si>
  <si>
    <t>Gamma Ray shale line</t>
  </si>
  <si>
    <t>GR100</t>
  </si>
  <si>
    <t>Read answer in RED cells</t>
  </si>
  <si>
    <t>SP clean line</t>
  </si>
  <si>
    <t>SP0</t>
  </si>
  <si>
    <t xml:space="preserve"> mv</t>
  </si>
  <si>
    <t>Change DEFAULTS as needed</t>
  </si>
  <si>
    <t>SP shale line</t>
  </si>
  <si>
    <t>SP100</t>
  </si>
  <si>
    <t>Do NOT type in shaded cells</t>
  </si>
  <si>
    <t>Neutron shale line</t>
  </si>
  <si>
    <t>PHINSH</t>
  </si>
  <si>
    <t xml:space="preserve"> frac</t>
  </si>
  <si>
    <t>Density shale line</t>
  </si>
  <si>
    <t>PHIDSH</t>
  </si>
  <si>
    <t>Sonic shale line</t>
  </si>
  <si>
    <t>DTCSH</t>
  </si>
  <si>
    <t xml:space="preserve"> usec/m</t>
  </si>
  <si>
    <t>Photoelectric shale line</t>
  </si>
  <si>
    <t>PESH</t>
  </si>
  <si>
    <t xml:space="preserve"> cu</t>
  </si>
  <si>
    <t>Resistivity shale line</t>
  </si>
  <si>
    <t>RSH</t>
  </si>
  <si>
    <t xml:space="preserve"> ohm-m</t>
  </si>
  <si>
    <t>WATER DATA</t>
  </si>
  <si>
    <t>Calculate Water Resistivity from Water Zone</t>
  </si>
  <si>
    <t>Electrical Properties</t>
  </si>
  <si>
    <t xml:space="preserve">       A =</t>
  </si>
  <si>
    <t xml:space="preserve">         M =</t>
  </si>
  <si>
    <t xml:space="preserve">         N =</t>
  </si>
  <si>
    <t xml:space="preserve"> unitless</t>
  </si>
  <si>
    <t>Resistivity of  Water Zone</t>
  </si>
  <si>
    <t xml:space="preserve">      RO =</t>
  </si>
  <si>
    <t>Neutron Porosity of Water Zone</t>
  </si>
  <si>
    <t>PHINwtr=</t>
  </si>
  <si>
    <t>Density Porosity of Water Zone</t>
  </si>
  <si>
    <t>PHIDwtr=</t>
  </si>
  <si>
    <t>1: PHIwtr = (PHIDwtr + PHINwtr) / 2</t>
  </si>
  <si>
    <t>PHIwtr =</t>
  </si>
  <si>
    <t>2: RW@FT = (PHIwtr ^ M) * R0 / A</t>
  </si>
  <si>
    <t xml:space="preserve"> RW_1 =</t>
  </si>
  <si>
    <t xml:space="preserve"> ohm-m at Formation Temperature</t>
  </si>
  <si>
    <t>Calculate Water Resistivity from Water Catalog</t>
  </si>
  <si>
    <t>Temperatures</t>
  </si>
  <si>
    <t>SUFT =</t>
  </si>
  <si>
    <t xml:space="preserve">    BHT =</t>
  </si>
  <si>
    <t xml:space="preserve"> degC</t>
  </si>
  <si>
    <t>Depths</t>
  </si>
  <si>
    <t xml:space="preserve"> ZONEDEPTH =</t>
  </si>
  <si>
    <t xml:space="preserve">         BHTDEPTH =</t>
  </si>
  <si>
    <t xml:space="preserve"> meters</t>
  </si>
  <si>
    <t>Catalog Water Resistivity</t>
  </si>
  <si>
    <t xml:space="preserve">      RW@TRW =</t>
  </si>
  <si>
    <t xml:space="preserve">    TRW =</t>
  </si>
  <si>
    <t xml:space="preserve">   KT1 =</t>
  </si>
  <si>
    <t>1. GRAD = (BHT - SUFT) / BHTDEPTH</t>
  </si>
  <si>
    <t xml:space="preserve"> GRAD =</t>
  </si>
  <si>
    <t xml:space="preserve"> degC/meter</t>
  </si>
  <si>
    <t>2: FT = SUFT + GRAD * ZONEDEPTH</t>
  </si>
  <si>
    <t xml:space="preserve">       FT =</t>
  </si>
  <si>
    <t xml:space="preserve">3: RW@FT = RW@TRW * (TRW + KT1) / (FT + KT1) </t>
  </si>
  <si>
    <t xml:space="preserve">  RW_2 =</t>
  </si>
  <si>
    <t>CHOOSE FINAL RW (+RW_1 or +RW_2)</t>
  </si>
  <si>
    <t xml:space="preserve">    RW =</t>
  </si>
  <si>
    <t>RAW LOG DATA FOR</t>
  </si>
  <si>
    <t>LAYER 1</t>
  </si>
  <si>
    <t>LAYER 2</t>
  </si>
  <si>
    <t>LAYER 3</t>
  </si>
  <si>
    <t>LAYER 4</t>
  </si>
  <si>
    <t>Layer Top</t>
  </si>
  <si>
    <t>TOP</t>
  </si>
  <si>
    <t>Layer Bottom</t>
  </si>
  <si>
    <t>BASE</t>
  </si>
  <si>
    <t xml:space="preserve">Deep Resistivity </t>
  </si>
  <si>
    <t>RESD</t>
  </si>
  <si>
    <t>ohm-m</t>
  </si>
  <si>
    <t xml:space="preserve">Neutron Porosity </t>
  </si>
  <si>
    <t>PHIN</t>
  </si>
  <si>
    <t>frac</t>
  </si>
  <si>
    <t xml:space="preserve">Density Porosity </t>
  </si>
  <si>
    <t>PHID</t>
  </si>
  <si>
    <t xml:space="preserve">Sonic Travel Time </t>
  </si>
  <si>
    <t>DTC</t>
  </si>
  <si>
    <t>usec/m</t>
  </si>
  <si>
    <t xml:space="preserve">Gamma Ray </t>
  </si>
  <si>
    <t>GR</t>
  </si>
  <si>
    <t>API</t>
  </si>
  <si>
    <t>Spontaneous Potential</t>
  </si>
  <si>
    <t>SP</t>
  </si>
  <si>
    <t>mv</t>
  </si>
  <si>
    <t>Photoelectric</t>
  </si>
  <si>
    <t>PE</t>
  </si>
  <si>
    <t>cu</t>
  </si>
  <si>
    <t>Caliper</t>
  </si>
  <si>
    <t>CAL</t>
  </si>
  <si>
    <t>mm</t>
  </si>
  <si>
    <t>CALCULATED RESULTS</t>
  </si>
  <si>
    <t>SHALE VOLUME</t>
  </si>
  <si>
    <t>1: Vshg = (GR - GR0) / (GR100 - GR0)</t>
  </si>
  <si>
    <t>2: Vshs = (SP - SP0) / (SP100 - SP0)</t>
  </si>
  <si>
    <t>3: Vshx = (PHIN - PHID) / (PHINSH - PHIDSH)</t>
  </si>
  <si>
    <t>4: Vsh = Minimum of above in each zone</t>
  </si>
  <si>
    <t>POROSITY</t>
  </si>
  <si>
    <t xml:space="preserve">DTCW =    </t>
  </si>
  <si>
    <t xml:space="preserve">DTCMA =  </t>
  </si>
  <si>
    <t>1: PHInc = PHIN - (Vsh * PHINSH)</t>
  </si>
  <si>
    <t>PHInc =</t>
  </si>
  <si>
    <t>2: PHIdc = PHID - (Vsh * PHIDSH)</t>
  </si>
  <si>
    <t>PHIdc =</t>
  </si>
  <si>
    <t>3: PHIxdn = (PHInc + PHIdc) / 2</t>
  </si>
  <si>
    <t>4: PHIsc = (DTC - ((1 - Vsh)*DTCMA) - (Vsh*DTCSH)) / (DTCW - DTCMA)</t>
  </si>
  <si>
    <t>PHIsc =</t>
  </si>
  <si>
    <t xml:space="preserve">5: PHIe = PHIxdn </t>
  </si>
  <si>
    <t xml:space="preserve">  PHIe =</t>
  </si>
  <si>
    <t>ARCHIE WATER SATURATION</t>
  </si>
  <si>
    <t>1: PHIt = (PHID + PHIN) / 2</t>
  </si>
  <si>
    <t xml:space="preserve">  PHIt =</t>
  </si>
  <si>
    <t>2: Rwa = (PHIt ^ M) * RESD / A</t>
  </si>
  <si>
    <t xml:space="preserve">  Rwa =</t>
  </si>
  <si>
    <t>3: SWa = (RW@FT / Rwa) ^ (1 / N)</t>
  </si>
  <si>
    <t xml:space="preserve">  SWa =</t>
  </si>
  <si>
    <t>SIMANDOUX WATER SATURATION</t>
  </si>
  <si>
    <t>1: C = (1 - Vsh) * A * RW@FT / (PHIe ^ M)   C =</t>
  </si>
  <si>
    <t>2: D = C * Vsh / (2 * RSH)</t>
  </si>
  <si>
    <t xml:space="preserve">       D =</t>
  </si>
  <si>
    <t>3: E = C / RESD</t>
  </si>
  <si>
    <t xml:space="preserve">       E =</t>
  </si>
  <si>
    <t>4: SWs = ((D ^ 2 + E) ^ 0.5 - D) ^ (2 / N)</t>
  </si>
  <si>
    <t xml:space="preserve">  SWs =</t>
  </si>
  <si>
    <t>5: Sw = SWs</t>
  </si>
  <si>
    <t xml:space="preserve">     Sw =</t>
  </si>
  <si>
    <t>IRREDUCIBLE WATER SATURATION</t>
  </si>
  <si>
    <t xml:space="preserve">1: KBUCKL = PHIe * Sw (for best Oil/Gas zone </t>
  </si>
  <si>
    <t xml:space="preserve">               KBUCKL =</t>
  </si>
  <si>
    <t xml:space="preserve"> &lt;&lt;== Put Data for BEST ZONE HERE</t>
  </si>
  <si>
    <t>2: SWir = Min (Sw, KBUCKL /  PHIe)</t>
  </si>
  <si>
    <t xml:space="preserve"> SWir =</t>
  </si>
  <si>
    <t>PERMEABILITY</t>
  </si>
  <si>
    <t xml:space="preserve">           CPERM =</t>
  </si>
  <si>
    <t>DPERM = 6</t>
  </si>
  <si>
    <t>EPERM =</t>
  </si>
  <si>
    <t>1: PERMw = CPERM * (PHIe ^ DPERM) / (SWir ^ EPERM)</t>
  </si>
  <si>
    <t xml:space="preserve"> Perm =</t>
  </si>
  <si>
    <t xml:space="preserve">  mD</t>
  </si>
  <si>
    <t>PAY ZONE SUMMARY</t>
  </si>
  <si>
    <t xml:space="preserve">      Enter THICK = 0.0 if zone fails cutoffs</t>
  </si>
  <si>
    <t>0: THICK = BASE - TOP</t>
  </si>
  <si>
    <t xml:space="preserve">  m</t>
  </si>
  <si>
    <t>1: PV = PHIe * THICK</t>
  </si>
  <si>
    <t xml:space="preserve"> mD-m</t>
  </si>
  <si>
    <t>2: HPV = PHIe * (1 - Sw) * THICK</t>
  </si>
  <si>
    <t>3: KH = Perm * THICK</t>
  </si>
  <si>
    <t>4: NetPay = THICK</t>
  </si>
  <si>
    <t>CALCULATED RESERVES and PRODUCTIVITY</t>
  </si>
  <si>
    <t>OIL</t>
  </si>
  <si>
    <t>OIL RESERVES</t>
  </si>
  <si>
    <t xml:space="preserve">    Bo =</t>
  </si>
  <si>
    <t xml:space="preserve">        RF =</t>
  </si>
  <si>
    <t xml:space="preserve">   AREA =</t>
  </si>
  <si>
    <t xml:space="preserve">      KV3 =</t>
  </si>
  <si>
    <t xml:space="preserve">     Set KV3 = 0.0 if this is gas zone</t>
  </si>
  <si>
    <t>sq meters</t>
  </si>
  <si>
    <t>1: Roil(m3) = RF * KV3 * HPV * AREA / Bo</t>
  </si>
  <si>
    <t xml:space="preserve">  m3</t>
  </si>
  <si>
    <t>2: Roil(bbl) = 6.29 * Roil(m3)</t>
  </si>
  <si>
    <t xml:space="preserve">  bbl</t>
  </si>
  <si>
    <t>OIL PRODUCTIVITY</t>
  </si>
  <si>
    <t>PF-PS =</t>
  </si>
  <si>
    <t xml:space="preserve"> KPa</t>
  </si>
  <si>
    <t xml:space="preserve">    VISO =</t>
  </si>
  <si>
    <t xml:space="preserve"> cP</t>
  </si>
  <si>
    <t xml:space="preserve">     KV1 =</t>
  </si>
  <si>
    <t xml:space="preserve"> / 10000</t>
  </si>
  <si>
    <t xml:space="preserve">     Set KV1 = 0.0 if this is gas zone</t>
  </si>
  <si>
    <t>3: Qo(m3/d) = KV1 * KH * (PF - PS) / VIS</t>
  </si>
  <si>
    <t xml:space="preserve">  m3/d</t>
  </si>
  <si>
    <t>4: Qo(bbl/d) = 6.29 * Qo(m3/d)</t>
  </si>
  <si>
    <t xml:space="preserve">  bbl/d</t>
  </si>
  <si>
    <t>GAS</t>
  </si>
  <si>
    <t>GAS RESERVES</t>
  </si>
  <si>
    <t xml:space="preserve">     PF =</t>
  </si>
  <si>
    <t xml:space="preserve">       PS =</t>
  </si>
  <si>
    <t xml:space="preserve">        ZF =</t>
  </si>
  <si>
    <t xml:space="preserve">     TF =</t>
  </si>
  <si>
    <t xml:space="preserve">       TS =</t>
  </si>
  <si>
    <t xml:space="preserve">     KT2 =</t>
  </si>
  <si>
    <t xml:space="preserve">     RF =</t>
  </si>
  <si>
    <t xml:space="preserve"> m2</t>
  </si>
  <si>
    <t xml:space="preserve">     KV4 =</t>
  </si>
  <si>
    <t xml:space="preserve">     Set KV4 = 0.0 if this is oil zone</t>
  </si>
  <si>
    <t>1: Bg =  (PS * (TF + KT2)) / (PF * (TS + KT2)) * ZF</t>
  </si>
  <si>
    <t xml:space="preserve">        Bg = </t>
  </si>
  <si>
    <t>2: Rgas = RF * KV4 * HPV * AREA / Bg</t>
  </si>
  <si>
    <t xml:space="preserve">  e3m3</t>
  </si>
  <si>
    <t>3: Rgas(mmcf) = 35.3 * Rgas(e3m3)</t>
  </si>
  <si>
    <t xml:space="preserve">  mmcf</t>
  </si>
  <si>
    <t>GAS PRODUCTIVITY</t>
  </si>
  <si>
    <t xml:space="preserve">      KV2 =</t>
  </si>
  <si>
    <t xml:space="preserve"> / 1000</t>
  </si>
  <si>
    <t xml:space="preserve">     Set KV2 = 0.0 if this is oil zone</t>
  </si>
  <si>
    <t>4: Qg = KV2 * KH * ((PF - PS)^2) / (FT + KT2)</t>
  </si>
  <si>
    <t>e3m3/d</t>
  </si>
  <si>
    <t>5: Qg(mmcf/d) = 0.0353 * Qg(e3m3/d)</t>
  </si>
  <si>
    <t>mmcf/d</t>
  </si>
  <si>
    <t>TAR</t>
  </si>
  <si>
    <t>TAR RESERVES</t>
  </si>
  <si>
    <t xml:space="preserve">            DENSHY</t>
  </si>
  <si>
    <t>DENSSH</t>
  </si>
  <si>
    <t>DENSMA</t>
  </si>
  <si>
    <t xml:space="preserve">  DENSW</t>
  </si>
  <si>
    <t xml:space="preserve"> Kg/m3</t>
  </si>
  <si>
    <t xml:space="preserve">      Delete this section if not tar sand</t>
  </si>
  <si>
    <t>1: WTtar = PHIe * (1 - Sw) * DENSHY / 1000</t>
  </si>
  <si>
    <t xml:space="preserve">  frac</t>
  </si>
  <si>
    <t>2: WTsh = Vsh * DENSSH / 1000</t>
  </si>
  <si>
    <t>3: WTsnd = (1 - Vsh - PHIe) * DENSMA / 1000</t>
  </si>
  <si>
    <t>4: WTwtr = PHIe * Sw * DENSW / 1000</t>
  </si>
  <si>
    <t>5: WTrock = WTtar + WTsh + WTsnd + WTwtr</t>
  </si>
  <si>
    <t>6: TARfrac = WTtar / WTrock</t>
  </si>
  <si>
    <t>7: TARwt% = 100 * WTtar / WTrock</t>
  </si>
  <si>
    <t xml:space="preserve">  %</t>
  </si>
  <si>
    <t>8: Rtar = WTtar * THICK * AREA</t>
  </si>
  <si>
    <t>Tonnes</t>
  </si>
  <si>
    <t>Field / Zone</t>
  </si>
  <si>
    <t>Well Name</t>
  </si>
  <si>
    <t>Beaverlodge / Halfway</t>
  </si>
  <si>
    <t>Analyst</t>
  </si>
  <si>
    <t>Date</t>
  </si>
  <si>
    <t>c. E. R. Crain, P.Eng. 2018</t>
  </si>
  <si>
    <t>Read Terms of Use</t>
  </si>
  <si>
    <t xml:space="preserve"> 2018-09-27</t>
  </si>
  <si>
    <t>PHIxdn=</t>
  </si>
  <si>
    <t xml:space="preserve">   QUICKLOOK LOG ANALYSIS -- CONVENTIONAL OIL and GAS -- METRIC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</si>
</sst>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9">
    <font>
      <sz val="10"/>
      <name val="Arial"/>
    </font>
    <font>
      <b/>
      <sz val="24"/>
      <color indexed="13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b/>
      <sz val="14"/>
      <color indexed="13"/>
      <name val="COUR"/>
    </font>
    <font>
      <b/>
      <sz val="10"/>
      <color indexed="13"/>
      <name val="Arial"/>
      <family val="2"/>
    </font>
    <font>
      <b/>
      <sz val="10"/>
      <color indexed="8"/>
      <name val="COUR"/>
    </font>
    <font>
      <b/>
      <sz val="12"/>
      <color indexed="8"/>
      <name val="COUR"/>
    </font>
    <font>
      <b/>
      <sz val="14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2"/>
      </patternFill>
    </fill>
    <fill>
      <patternFill patternType="solid">
        <fgColor indexed="22"/>
      </patternFill>
    </fill>
    <fill>
      <patternFill patternType="darkUp"/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/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 style="thick">
        <color indexed="10"/>
      </left>
      <right/>
      <top style="thick">
        <color indexed="10"/>
      </top>
      <bottom/>
      <diagonal/>
    </border>
    <border>
      <left style="thick">
        <color indexed="8"/>
      </left>
      <right/>
      <top style="thick">
        <color indexed="10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mediumDashed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</borders>
  <cellStyleXfs count="2">
    <xf numFmtId="2" fontId="0" fillId="0" borderId="0"/>
    <xf numFmtId="0" fontId="18" fillId="0" borderId="0" applyNumberFormat="0" applyFill="0" applyBorder="0" applyAlignment="0" applyProtection="0"/>
  </cellStyleXfs>
  <cellXfs count="101">
    <xf numFmtId="0" fontId="17" fillId="0" borderId="0" xfId="0" applyNumberFormat="1" applyFont="1" applyAlignment="1" applyProtection="1">
      <protection locked="0"/>
    </xf>
    <xf numFmtId="2" fontId="0" fillId="2" borderId="1" xfId="0" applyFill="1" applyBorder="1" applyAlignment="1"/>
    <xf numFmtId="2" fontId="1" fillId="2" borderId="2" xfId="0" applyFont="1" applyFill="1" applyBorder="1" applyAlignment="1"/>
    <xf numFmtId="0" fontId="2" fillId="0" borderId="1" xfId="0" applyNumberFormat="1" applyFont="1" applyBorder="1" applyAlignment="1"/>
    <xf numFmtId="0" fontId="2" fillId="0" borderId="3" xfId="0" applyNumberFormat="1" applyFont="1" applyBorder="1" applyAlignment="1"/>
    <xf numFmtId="0" fontId="2" fillId="0" borderId="0" xfId="0" applyNumberFormat="1" applyFont="1" applyAlignment="1"/>
    <xf numFmtId="0" fontId="3" fillId="0" borderId="0" xfId="0" applyNumberFormat="1" applyFont="1" applyAlignment="1"/>
    <xf numFmtId="2" fontId="4" fillId="2" borderId="3" xfId="0" applyFont="1" applyFill="1" applyBorder="1" applyAlignment="1"/>
    <xf numFmtId="2" fontId="4" fillId="2" borderId="0" xfId="0" applyFont="1" applyFill="1" applyAlignment="1"/>
    <xf numFmtId="2" fontId="5" fillId="2" borderId="0" xfId="0" applyFont="1" applyFill="1" applyAlignment="1"/>
    <xf numFmtId="1" fontId="8" fillId="2" borderId="1" xfId="0" applyNumberFormat="1" applyFont="1" applyFill="1" applyBorder="1" applyAlignment="1"/>
    <xf numFmtId="164" fontId="8" fillId="2" borderId="1" xfId="0" applyNumberFormat="1" applyFont="1" applyFill="1" applyBorder="1" applyAlignment="1"/>
    <xf numFmtId="0" fontId="8" fillId="2" borderId="1" xfId="0" applyNumberFormat="1" applyFont="1" applyFill="1" applyBorder="1" applyAlignment="1"/>
    <xf numFmtId="0" fontId="8" fillId="2" borderId="3" xfId="0" applyNumberFormat="1" applyFont="1" applyFill="1" applyBorder="1" applyAlignment="1"/>
    <xf numFmtId="0" fontId="8" fillId="2" borderId="2" xfId="0" applyNumberFormat="1" applyFont="1" applyFill="1" applyBorder="1" applyAlignment="1"/>
    <xf numFmtId="1" fontId="8" fillId="2" borderId="0" xfId="0" applyNumberFormat="1" applyFont="1" applyFill="1" applyAlignment="1"/>
    <xf numFmtId="164" fontId="8" fillId="2" borderId="0" xfId="0" applyNumberFormat="1" applyFont="1" applyFill="1" applyAlignment="1"/>
    <xf numFmtId="0" fontId="8" fillId="2" borderId="0" xfId="0" applyNumberFormat="1" applyFont="1" applyFill="1" applyAlignment="1"/>
    <xf numFmtId="1" fontId="9" fillId="0" borderId="4" xfId="0" applyNumberFormat="1" applyFont="1" applyBorder="1" applyAlignment="1"/>
    <xf numFmtId="164" fontId="9" fillId="0" borderId="4" xfId="0" applyNumberFormat="1" applyFont="1" applyBorder="1" applyAlignment="1"/>
    <xf numFmtId="0" fontId="9" fillId="0" borderId="4" xfId="0" applyNumberFormat="1" applyFont="1" applyBorder="1" applyAlignment="1"/>
    <xf numFmtId="1" fontId="9" fillId="0" borderId="1" xfId="0" applyNumberFormat="1" applyFont="1" applyBorder="1" applyAlignment="1"/>
    <xf numFmtId="164" fontId="9" fillId="0" borderId="1" xfId="0" applyNumberFormat="1" applyFont="1" applyBorder="1" applyAlignment="1"/>
    <xf numFmtId="0" fontId="9" fillId="0" borderId="1" xfId="0" applyNumberFormat="1" applyFont="1" applyBorder="1" applyAlignment="1"/>
    <xf numFmtId="1" fontId="9" fillId="0" borderId="5" xfId="0" applyNumberFormat="1" applyFont="1" applyBorder="1" applyAlignment="1"/>
    <xf numFmtId="164" fontId="9" fillId="0" borderId="5" xfId="0" applyNumberFormat="1" applyFont="1" applyBorder="1" applyAlignment="1"/>
    <xf numFmtId="2" fontId="9" fillId="0" borderId="5" xfId="0" applyFont="1" applyBorder="1" applyAlignment="1"/>
    <xf numFmtId="0" fontId="9" fillId="0" borderId="5" xfId="0" applyNumberFormat="1" applyFont="1" applyBorder="1" applyAlignment="1"/>
    <xf numFmtId="1" fontId="9" fillId="0" borderId="3" xfId="0" applyNumberFormat="1" applyFont="1" applyBorder="1" applyAlignment="1"/>
    <xf numFmtId="164" fontId="9" fillId="0" borderId="3" xfId="0" applyNumberFormat="1" applyFont="1" applyBorder="1" applyAlignment="1"/>
    <xf numFmtId="2" fontId="9" fillId="0" borderId="3" xfId="0" applyFont="1" applyBorder="1" applyAlignment="1"/>
    <xf numFmtId="0" fontId="9" fillId="0" borderId="3" xfId="0" applyNumberFormat="1" applyFont="1" applyBorder="1" applyAlignment="1"/>
    <xf numFmtId="0" fontId="9" fillId="0" borderId="2" xfId="0" applyNumberFormat="1" applyFont="1" applyBorder="1" applyAlignment="1"/>
    <xf numFmtId="1" fontId="9" fillId="0" borderId="0" xfId="0" applyNumberFormat="1" applyFont="1" applyAlignment="1"/>
    <xf numFmtId="164" fontId="9" fillId="0" borderId="0" xfId="0" applyNumberFormat="1" applyFont="1" applyAlignment="1"/>
    <xf numFmtId="2" fontId="9" fillId="0" borderId="0" xfId="0" applyFont="1" applyAlignment="1"/>
    <xf numFmtId="0" fontId="9" fillId="0" borderId="0" xfId="0" applyNumberFormat="1" applyFont="1" applyAlignment="1"/>
    <xf numFmtId="0" fontId="10" fillId="0" borderId="3" xfId="0" applyNumberFormat="1" applyFont="1" applyBorder="1" applyAlignment="1">
      <alignment horizontal="left"/>
    </xf>
    <xf numFmtId="1" fontId="11" fillId="0" borderId="4" xfId="0" applyNumberFormat="1" applyFont="1" applyBorder="1" applyAlignment="1">
      <alignment horizontal="center"/>
    </xf>
    <xf numFmtId="2" fontId="11" fillId="0" borderId="4" xfId="0" applyFont="1" applyBorder="1" applyAlignment="1">
      <alignment horizontal="center"/>
    </xf>
    <xf numFmtId="165" fontId="11" fillId="0" borderId="4" xfId="0" applyNumberFormat="1" applyFont="1" applyBorder="1" applyAlignment="1">
      <alignment horizontal="center"/>
    </xf>
    <xf numFmtId="0" fontId="11" fillId="0" borderId="4" xfId="0" applyNumberFormat="1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2" fontId="11" fillId="0" borderId="1" xfId="0" applyFont="1" applyBorder="1" applyAlignment="1">
      <alignment horizontal="center"/>
    </xf>
    <xf numFmtId="0" fontId="11" fillId="0" borderId="1" xfId="0" applyNumberFormat="1" applyFont="1" applyBorder="1" applyAlignment="1">
      <alignment horizontal="center"/>
    </xf>
    <xf numFmtId="1" fontId="11" fillId="0" borderId="5" xfId="0" applyNumberFormat="1" applyFont="1" applyBorder="1" applyAlignment="1">
      <alignment horizontal="center"/>
    </xf>
    <xf numFmtId="164" fontId="11" fillId="0" borderId="5" xfId="0" applyNumberFormat="1" applyFont="1" applyBorder="1" applyAlignment="1">
      <alignment horizontal="center"/>
    </xf>
    <xf numFmtId="2" fontId="11" fillId="0" borderId="5" xfId="0" applyFont="1" applyBorder="1" applyAlignment="1">
      <alignment horizontal="center"/>
    </xf>
    <xf numFmtId="165" fontId="11" fillId="0" borderId="5" xfId="0" applyNumberFormat="1" applyFont="1" applyBorder="1" applyAlignment="1">
      <alignment horizontal="center"/>
    </xf>
    <xf numFmtId="0" fontId="11" fillId="0" borderId="5" xfId="0" applyNumberFormat="1" applyFont="1" applyBorder="1" applyAlignment="1">
      <alignment horizontal="center"/>
    </xf>
    <xf numFmtId="1" fontId="11" fillId="0" borderId="6" xfId="0" applyNumberFormat="1" applyFont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2" fontId="11" fillId="0" borderId="6" xfId="0" applyFont="1" applyBorder="1" applyAlignment="1">
      <alignment horizontal="center"/>
    </xf>
    <xf numFmtId="165" fontId="11" fillId="0" borderId="6" xfId="0" applyNumberFormat="1" applyFont="1" applyBorder="1" applyAlignment="1">
      <alignment horizontal="center"/>
    </xf>
    <xf numFmtId="166" fontId="11" fillId="0" borderId="6" xfId="0" applyNumberFormat="1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2" fontId="11" fillId="0" borderId="3" xfId="0" applyFont="1" applyBorder="1" applyAlignment="1">
      <alignment horizontal="center"/>
    </xf>
    <xf numFmtId="165" fontId="11" fillId="0" borderId="3" xfId="0" applyNumberFormat="1" applyFont="1" applyBorder="1" applyAlignment="1">
      <alignment horizontal="center"/>
    </xf>
    <xf numFmtId="164" fontId="11" fillId="0" borderId="7" xfId="0" applyNumberFormat="1" applyFont="1" applyBorder="1" applyAlignment="1">
      <alignment horizontal="center"/>
    </xf>
    <xf numFmtId="1" fontId="11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2" fontId="11" fillId="0" borderId="2" xfId="0" applyFont="1" applyBorder="1" applyAlignment="1">
      <alignment horizontal="center"/>
    </xf>
    <xf numFmtId="165" fontId="11" fillId="0" borderId="2" xfId="0" applyNumberFormat="1" applyFont="1" applyBorder="1" applyAlignment="1">
      <alignment horizontal="center"/>
    </xf>
    <xf numFmtId="0" fontId="11" fillId="0" borderId="2" xfId="0" applyNumberFormat="1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2" fontId="11" fillId="0" borderId="0" xfId="0" applyFont="1" applyAlignment="1">
      <alignment horizontal="center"/>
    </xf>
    <xf numFmtId="165" fontId="11" fillId="0" borderId="0" xfId="0" applyNumberFormat="1" applyFont="1" applyAlignment="1">
      <alignment horizontal="center"/>
    </xf>
    <xf numFmtId="0" fontId="11" fillId="0" borderId="0" xfId="0" applyNumberFormat="1" applyFont="1" applyAlignment="1">
      <alignment horizontal="center"/>
    </xf>
    <xf numFmtId="0" fontId="12" fillId="4" borderId="1" xfId="0" applyNumberFormat="1" applyFont="1" applyFill="1" applyBorder="1" applyAlignment="1">
      <alignment horizontal="centerContinuous"/>
    </xf>
    <xf numFmtId="1" fontId="12" fillId="4" borderId="2" xfId="0" applyNumberFormat="1" applyFont="1" applyFill="1" applyBorder="1" applyAlignment="1">
      <alignment horizontal="center"/>
    </xf>
    <xf numFmtId="164" fontId="12" fillId="4" borderId="2" xfId="0" applyNumberFormat="1" applyFont="1" applyFill="1" applyBorder="1" applyAlignment="1">
      <alignment horizontal="center"/>
    </xf>
    <xf numFmtId="0" fontId="12" fillId="4" borderId="2" xfId="0" applyNumberFormat="1" applyFont="1" applyFill="1" applyBorder="1" applyAlignment="1">
      <alignment horizontal="center"/>
    </xf>
    <xf numFmtId="0" fontId="13" fillId="0" borderId="3" xfId="0" applyNumberFormat="1" applyFont="1" applyBorder="1" applyAlignment="1"/>
    <xf numFmtId="0" fontId="13" fillId="0" borderId="0" xfId="0" applyNumberFormat="1" applyFont="1" applyAlignment="1"/>
    <xf numFmtId="0" fontId="14" fillId="0" borderId="1" xfId="0" applyNumberFormat="1" applyFont="1" applyBorder="1" applyAlignment="1">
      <alignment horizontal="center"/>
    </xf>
    <xf numFmtId="0" fontId="14" fillId="0" borderId="5" xfId="0" applyNumberFormat="1" applyFont="1" applyBorder="1" applyAlignment="1">
      <alignment horizontal="center"/>
    </xf>
    <xf numFmtId="0" fontId="14" fillId="0" borderId="3" xfId="0" applyNumberFormat="1" applyFont="1" applyBorder="1" applyAlignment="1">
      <alignment horizontal="center"/>
    </xf>
    <xf numFmtId="164" fontId="15" fillId="4" borderId="1" xfId="0" applyNumberFormat="1" applyFont="1" applyFill="1" applyBorder="1" applyAlignment="1"/>
    <xf numFmtId="166" fontId="15" fillId="4" borderId="2" xfId="0" applyNumberFormat="1" applyFont="1" applyFill="1" applyBorder="1" applyAlignment="1">
      <alignment horizontal="centerContinuous"/>
    </xf>
    <xf numFmtId="166" fontId="16" fillId="4" borderId="2" xfId="0" applyNumberFormat="1" applyFont="1" applyFill="1" applyBorder="1" applyAlignment="1">
      <alignment horizontal="right"/>
    </xf>
    <xf numFmtId="15" fontId="9" fillId="0" borderId="2" xfId="0" applyNumberFormat="1" applyFont="1" applyBorder="1" applyAlignment="1"/>
    <xf numFmtId="0" fontId="9" fillId="0" borderId="0" xfId="0" applyNumberFormat="1" applyFont="1" applyBorder="1" applyAlignment="1"/>
    <xf numFmtId="0" fontId="9" fillId="0" borderId="8" xfId="0" applyNumberFormat="1" applyFont="1" applyBorder="1" applyAlignment="1"/>
    <xf numFmtId="0" fontId="9" fillId="0" borderId="9" xfId="0" applyNumberFormat="1" applyFont="1" applyBorder="1" applyAlignment="1"/>
    <xf numFmtId="0" fontId="9" fillId="0" borderId="10" xfId="0" applyNumberFormat="1" applyFont="1" applyBorder="1" applyAlignment="1"/>
    <xf numFmtId="0" fontId="9" fillId="0" borderId="11" xfId="0" applyNumberFormat="1" applyFont="1" applyBorder="1" applyAlignment="1"/>
    <xf numFmtId="0" fontId="9" fillId="0" borderId="12" xfId="0" applyNumberFormat="1" applyFont="1" applyBorder="1" applyAlignment="1"/>
    <xf numFmtId="2" fontId="11" fillId="0" borderId="13" xfId="0" applyFont="1" applyBorder="1" applyAlignment="1">
      <alignment horizontal="center"/>
    </xf>
    <xf numFmtId="0" fontId="12" fillId="4" borderId="13" xfId="0" applyNumberFormat="1" applyFont="1" applyFill="1" applyBorder="1" applyAlignment="1">
      <alignment horizontal="center"/>
    </xf>
    <xf numFmtId="2" fontId="6" fillId="3" borderId="16" xfId="0" applyFont="1" applyFill="1" applyBorder="1" applyAlignment="1"/>
    <xf numFmtId="2" fontId="7" fillId="3" borderId="17" xfId="0" applyFont="1" applyFill="1" applyBorder="1" applyAlignment="1"/>
    <xf numFmtId="0" fontId="8" fillId="2" borderId="18" xfId="0" applyNumberFormat="1" applyFont="1" applyFill="1" applyBorder="1" applyAlignment="1"/>
    <xf numFmtId="0" fontId="8" fillId="2" borderId="19" xfId="0" applyNumberFormat="1" applyFont="1" applyFill="1" applyBorder="1" applyAlignment="1"/>
    <xf numFmtId="0" fontId="8" fillId="2" borderId="20" xfId="0" applyNumberFormat="1" applyFont="1" applyFill="1" applyBorder="1" applyAlignment="1"/>
    <xf numFmtId="2" fontId="18" fillId="5" borderId="14" xfId="1" applyNumberFormat="1" applyFill="1" applyBorder="1" applyAlignment="1">
      <alignment horizontal="center"/>
    </xf>
    <xf numFmtId="2" fontId="18" fillId="5" borderId="15" xfId="1" applyNumberFormat="1" applyFill="1" applyBorder="1" applyAlignment="1">
      <alignment horizontal="center"/>
    </xf>
    <xf numFmtId="2" fontId="4" fillId="2" borderId="21" xfId="0" applyFont="1" applyFill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FF00"/>
      </a:dk1>
      <a:lt1>
        <a:sysClr val="window" lastClr="00000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pec2000.net/00-fineprint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T181"/>
  <sheetViews>
    <sheetView showGridLines="0" tabSelected="1" showOutlineSymbols="0" zoomScale="120" workbookViewId="0"/>
  </sheetViews>
  <sheetFormatPr defaultColWidth="8.7109375" defaultRowHeight="12.75"/>
  <cols>
    <col min="9" max="9" width="9.85546875" bestFit="1" customWidth="1"/>
  </cols>
  <sheetData>
    <row r="1" spans="1:20" ht="30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4"/>
      <c r="O1" s="6"/>
      <c r="P1" s="6"/>
      <c r="Q1" s="6"/>
      <c r="R1" s="6"/>
      <c r="S1" s="6"/>
      <c r="T1" s="6"/>
    </row>
    <row r="2" spans="1:20" ht="18">
      <c r="A2" s="100" t="s">
        <v>243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4"/>
      <c r="O2" s="6"/>
      <c r="P2" s="6"/>
      <c r="Q2" s="6"/>
      <c r="R2" s="6"/>
      <c r="S2" s="6"/>
      <c r="T2" s="6"/>
    </row>
    <row r="3" spans="1:20" ht="18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4"/>
      <c r="O3" s="6"/>
      <c r="P3" s="6"/>
      <c r="Q3" s="6"/>
      <c r="R3" s="6"/>
      <c r="S3" s="6"/>
      <c r="T3" s="6"/>
    </row>
    <row r="4" spans="1:20" ht="18.75" thickBot="1">
      <c r="A4" s="7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4"/>
      <c r="O4" s="6"/>
      <c r="P4" s="6"/>
      <c r="Q4" s="6"/>
      <c r="R4" s="6"/>
      <c r="S4" s="6"/>
      <c r="T4" s="6"/>
    </row>
    <row r="5" spans="1:20" ht="17.25" thickTop="1" thickBot="1">
      <c r="A5" s="93" t="s">
        <v>239</v>
      </c>
      <c r="B5" s="94"/>
      <c r="C5" s="94"/>
      <c r="D5" s="94"/>
      <c r="E5" s="94"/>
      <c r="F5" s="94"/>
      <c r="G5" s="94"/>
      <c r="H5" s="94"/>
      <c r="I5" s="94"/>
      <c r="J5" s="94"/>
      <c r="K5" s="98" t="s">
        <v>240</v>
      </c>
      <c r="L5" s="98"/>
      <c r="M5" s="99"/>
      <c r="N5" s="4"/>
      <c r="O5" s="6"/>
      <c r="P5" s="6"/>
      <c r="Q5" s="6"/>
      <c r="R5" s="6"/>
      <c r="S5" s="6"/>
      <c r="T5" s="6"/>
    </row>
    <row r="6" spans="1:20" ht="19.5" thickTop="1" thickBot="1">
      <c r="A6" s="13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4"/>
      <c r="O6" s="6"/>
      <c r="P6" s="6"/>
      <c r="Q6" s="6"/>
      <c r="R6" s="6"/>
      <c r="S6" s="6"/>
      <c r="T6" s="6"/>
    </row>
    <row r="7" spans="1:20" ht="14.25" thickTop="1" thickBot="1">
      <c r="A7" s="31" t="s">
        <v>235</v>
      </c>
      <c r="B7" s="36"/>
      <c r="C7" s="32" t="s">
        <v>2</v>
      </c>
      <c r="D7" s="23"/>
      <c r="E7" s="23"/>
      <c r="F7" s="23"/>
      <c r="G7" s="31"/>
      <c r="H7" s="36" t="s">
        <v>237</v>
      </c>
      <c r="I7" s="32" t="s">
        <v>3</v>
      </c>
      <c r="J7" s="23"/>
      <c r="K7" s="23"/>
      <c r="L7" s="31"/>
      <c r="M7" s="36"/>
      <c r="N7" s="4"/>
      <c r="O7" s="6"/>
      <c r="P7" s="6"/>
      <c r="Q7" s="6"/>
      <c r="R7" s="6"/>
      <c r="S7" s="6"/>
      <c r="T7" s="6"/>
    </row>
    <row r="8" spans="1:20" ht="14.25" thickTop="1" thickBot="1">
      <c r="A8" s="31" t="s">
        <v>234</v>
      </c>
      <c r="B8" s="36"/>
      <c r="C8" s="32" t="s">
        <v>236</v>
      </c>
      <c r="D8" s="23"/>
      <c r="E8" s="23"/>
      <c r="F8" s="23"/>
      <c r="G8" s="31"/>
      <c r="H8" s="36" t="s">
        <v>238</v>
      </c>
      <c r="I8" s="84" t="s">
        <v>241</v>
      </c>
      <c r="J8" s="23"/>
      <c r="K8" s="23"/>
      <c r="L8" s="31"/>
      <c r="M8" s="36"/>
      <c r="N8" s="4"/>
      <c r="O8" s="6"/>
      <c r="P8" s="6"/>
      <c r="Q8" s="6"/>
      <c r="R8" s="6"/>
      <c r="S8" s="6"/>
      <c r="T8" s="6"/>
    </row>
    <row r="9" spans="1:20" ht="14.25" thickTop="1" thickBot="1">
      <c r="A9" s="31"/>
      <c r="B9" s="36"/>
      <c r="C9" s="23"/>
      <c r="D9" s="23"/>
      <c r="E9" s="23"/>
      <c r="F9" s="23"/>
      <c r="G9" s="36"/>
      <c r="H9" s="36"/>
      <c r="I9" s="23"/>
      <c r="J9" s="23"/>
      <c r="K9" s="23"/>
      <c r="L9" s="36"/>
      <c r="M9" s="36"/>
      <c r="N9" s="4"/>
      <c r="O9" s="6"/>
      <c r="P9" s="6"/>
      <c r="Q9" s="6"/>
      <c r="R9" s="6"/>
      <c r="S9" s="6"/>
      <c r="T9" s="6"/>
    </row>
    <row r="10" spans="1:20" ht="18.75" thickTop="1">
      <c r="A10" s="97" t="s">
        <v>5</v>
      </c>
      <c r="B10" s="95"/>
      <c r="C10" s="95"/>
      <c r="D10" s="95"/>
      <c r="E10" s="95"/>
      <c r="F10" s="95"/>
      <c r="G10" s="95"/>
      <c r="H10" s="95"/>
      <c r="I10" s="96" t="s">
        <v>6</v>
      </c>
      <c r="J10" s="95"/>
      <c r="K10" s="95"/>
      <c r="L10" s="95"/>
      <c r="M10" s="95"/>
      <c r="N10" s="4"/>
      <c r="O10" s="6"/>
      <c r="P10" s="6"/>
      <c r="Q10" s="6"/>
      <c r="R10" s="6"/>
      <c r="S10" s="6"/>
      <c r="T10" s="6"/>
    </row>
    <row r="11" spans="1:20" ht="13.5" thickBot="1">
      <c r="A11" s="31"/>
      <c r="B11" s="36"/>
      <c r="C11" s="36"/>
      <c r="D11" s="36"/>
      <c r="E11" s="36"/>
      <c r="F11" s="36"/>
      <c r="G11" s="36"/>
      <c r="H11" s="36"/>
      <c r="I11" s="86"/>
      <c r="J11" s="85"/>
      <c r="K11" s="85"/>
      <c r="L11" s="85"/>
      <c r="M11" s="87"/>
      <c r="N11" s="4"/>
      <c r="O11" s="6"/>
      <c r="P11" s="6"/>
      <c r="Q11" s="6"/>
      <c r="R11" s="6"/>
      <c r="S11" s="6"/>
      <c r="T11" s="6"/>
    </row>
    <row r="12" spans="1:20" ht="14.25" thickTop="1" thickBot="1">
      <c r="A12" s="31" t="s">
        <v>7</v>
      </c>
      <c r="B12" s="36"/>
      <c r="C12" s="36"/>
      <c r="D12" s="36" t="s">
        <v>8</v>
      </c>
      <c r="E12" s="36"/>
      <c r="F12" s="66">
        <v>30</v>
      </c>
      <c r="G12" s="31" t="s">
        <v>9</v>
      </c>
      <c r="H12" s="36"/>
      <c r="I12" s="86" t="s">
        <v>10</v>
      </c>
      <c r="J12" s="85"/>
      <c r="K12" s="85"/>
      <c r="L12" s="91">
        <v>0</v>
      </c>
      <c r="M12" s="87"/>
      <c r="N12" s="4"/>
      <c r="O12" s="6"/>
      <c r="P12" s="6"/>
      <c r="Q12" s="6"/>
      <c r="R12" s="6"/>
      <c r="S12" s="6"/>
      <c r="T12" s="6"/>
    </row>
    <row r="13" spans="1:20" ht="14.25" thickTop="1" thickBot="1">
      <c r="A13" s="31" t="s">
        <v>11</v>
      </c>
      <c r="B13" s="36"/>
      <c r="C13" s="36"/>
      <c r="D13" s="36" t="s">
        <v>12</v>
      </c>
      <c r="E13" s="36"/>
      <c r="F13" s="66">
        <v>145</v>
      </c>
      <c r="G13" s="31" t="s">
        <v>9</v>
      </c>
      <c r="H13" s="36"/>
      <c r="I13" s="86" t="s">
        <v>13</v>
      </c>
      <c r="J13" s="85"/>
      <c r="K13" s="85"/>
      <c r="L13" s="91">
        <v>1</v>
      </c>
      <c r="M13" s="87"/>
      <c r="N13" s="4"/>
      <c r="O13" s="6"/>
      <c r="P13" s="6"/>
      <c r="Q13" s="6"/>
      <c r="R13" s="6"/>
      <c r="S13" s="6"/>
      <c r="T13" s="6"/>
    </row>
    <row r="14" spans="1:20" ht="14.25" thickTop="1" thickBot="1">
      <c r="A14" s="31" t="s">
        <v>14</v>
      </c>
      <c r="B14" s="36"/>
      <c r="C14" s="36"/>
      <c r="D14" s="36" t="s">
        <v>15</v>
      </c>
      <c r="E14" s="36"/>
      <c r="F14" s="66">
        <v>-55</v>
      </c>
      <c r="G14" s="31" t="s">
        <v>16</v>
      </c>
      <c r="H14" s="36"/>
      <c r="I14" s="86" t="s">
        <v>17</v>
      </c>
      <c r="J14" s="85"/>
      <c r="K14" s="85"/>
      <c r="L14" s="85"/>
      <c r="M14" s="87"/>
      <c r="N14" s="4"/>
      <c r="O14" s="6"/>
      <c r="P14" s="6"/>
      <c r="Q14" s="6"/>
      <c r="R14" s="6"/>
      <c r="S14" s="6"/>
      <c r="T14" s="6"/>
    </row>
    <row r="15" spans="1:20" ht="14.25" thickTop="1" thickBot="1">
      <c r="A15" s="31" t="s">
        <v>18</v>
      </c>
      <c r="B15" s="36"/>
      <c r="C15" s="36"/>
      <c r="D15" s="36" t="s">
        <v>19</v>
      </c>
      <c r="E15" s="36"/>
      <c r="F15" s="66">
        <v>-50</v>
      </c>
      <c r="G15" s="31" t="s">
        <v>16</v>
      </c>
      <c r="H15" s="36"/>
      <c r="I15" s="88" t="s">
        <v>20</v>
      </c>
      <c r="J15" s="89"/>
      <c r="K15" s="89"/>
      <c r="L15" s="92">
        <v>7.4999999999999997E-2</v>
      </c>
      <c r="M15" s="90"/>
      <c r="N15" s="4"/>
      <c r="O15" s="6"/>
      <c r="P15" s="6"/>
      <c r="Q15" s="6"/>
      <c r="R15" s="6"/>
      <c r="S15" s="6"/>
      <c r="T15" s="6"/>
    </row>
    <row r="16" spans="1:20" ht="14.25" thickTop="1" thickBot="1">
      <c r="A16" s="31" t="s">
        <v>21</v>
      </c>
      <c r="B16" s="36"/>
      <c r="C16" s="36"/>
      <c r="D16" s="36" t="s">
        <v>22</v>
      </c>
      <c r="E16" s="36"/>
      <c r="F16" s="66">
        <v>0.18</v>
      </c>
      <c r="G16" s="31" t="s">
        <v>23</v>
      </c>
      <c r="H16" s="36"/>
      <c r="I16" s="36"/>
      <c r="J16" s="36"/>
      <c r="K16" s="36"/>
      <c r="L16" s="85"/>
      <c r="M16" s="36"/>
      <c r="N16" s="31"/>
      <c r="O16" s="6"/>
      <c r="P16" s="6"/>
      <c r="Q16" s="6"/>
      <c r="R16" s="6"/>
      <c r="S16" s="6"/>
      <c r="T16" s="6"/>
    </row>
    <row r="17" spans="1:20" ht="14.25" thickTop="1" thickBot="1">
      <c r="A17" s="31" t="s">
        <v>24</v>
      </c>
      <c r="B17" s="36"/>
      <c r="C17" s="36"/>
      <c r="D17" s="36" t="s">
        <v>25</v>
      </c>
      <c r="E17" s="36"/>
      <c r="F17" s="66">
        <v>-0.03</v>
      </c>
      <c r="G17" s="31" t="s">
        <v>23</v>
      </c>
      <c r="H17" s="36"/>
      <c r="I17" s="36"/>
      <c r="J17" s="36"/>
      <c r="K17" s="36"/>
      <c r="L17" s="36"/>
      <c r="M17" s="36"/>
      <c r="N17" s="31"/>
      <c r="O17" s="6"/>
      <c r="P17" s="6"/>
      <c r="Q17" s="6"/>
      <c r="R17" s="6"/>
      <c r="S17" s="6"/>
      <c r="T17" s="6"/>
    </row>
    <row r="18" spans="1:20">
      <c r="A18" s="31" t="s">
        <v>26</v>
      </c>
      <c r="B18" s="36"/>
      <c r="C18" s="36"/>
      <c r="D18" s="36" t="s">
        <v>27</v>
      </c>
      <c r="E18" s="36"/>
      <c r="F18" s="66">
        <v>200</v>
      </c>
      <c r="G18" s="31" t="s">
        <v>28</v>
      </c>
      <c r="H18" s="36"/>
      <c r="I18" s="36"/>
      <c r="J18" s="36"/>
      <c r="K18" s="36"/>
      <c r="L18" s="36"/>
      <c r="M18" s="36"/>
      <c r="N18" s="31"/>
      <c r="O18" s="6"/>
      <c r="P18" s="6"/>
      <c r="Q18" s="6"/>
      <c r="R18" s="6"/>
      <c r="S18" s="6"/>
      <c r="T18" s="6"/>
    </row>
    <row r="19" spans="1:20">
      <c r="A19" s="31" t="s">
        <v>29</v>
      </c>
      <c r="B19" s="36"/>
      <c r="C19" s="36"/>
      <c r="D19" s="36" t="s">
        <v>30</v>
      </c>
      <c r="E19" s="36"/>
      <c r="F19" s="66">
        <v>3.5</v>
      </c>
      <c r="G19" s="31" t="s">
        <v>31</v>
      </c>
      <c r="H19" s="36"/>
      <c r="I19" s="36"/>
      <c r="J19" s="36"/>
      <c r="K19" s="36"/>
      <c r="L19" s="36"/>
      <c r="M19" s="36"/>
      <c r="N19" s="31"/>
      <c r="O19" s="6"/>
      <c r="P19" s="6"/>
      <c r="Q19" s="6"/>
      <c r="R19" s="6"/>
      <c r="S19" s="6"/>
      <c r="T19" s="6"/>
    </row>
    <row r="20" spans="1:20">
      <c r="A20" s="31" t="s">
        <v>32</v>
      </c>
      <c r="B20" s="36"/>
      <c r="C20" s="36"/>
      <c r="D20" s="36" t="s">
        <v>33</v>
      </c>
      <c r="E20" s="36"/>
      <c r="F20" s="66">
        <v>10</v>
      </c>
      <c r="G20" s="31" t="s">
        <v>34</v>
      </c>
      <c r="H20" s="36"/>
      <c r="I20" s="36"/>
      <c r="J20" s="36"/>
      <c r="K20" s="36"/>
      <c r="L20" s="36"/>
      <c r="M20" s="36"/>
      <c r="N20" s="31"/>
      <c r="O20" s="6"/>
      <c r="P20" s="6"/>
      <c r="Q20" s="6"/>
      <c r="R20" s="6"/>
      <c r="S20" s="6"/>
      <c r="T20" s="6"/>
    </row>
    <row r="21" spans="1:20">
      <c r="A21" s="31"/>
      <c r="B21" s="36"/>
      <c r="C21" s="36"/>
      <c r="D21" s="36"/>
      <c r="E21" s="36"/>
      <c r="F21" s="23"/>
      <c r="G21" s="36"/>
      <c r="H21" s="36"/>
      <c r="I21" s="36"/>
      <c r="J21" s="36"/>
      <c r="K21" s="36"/>
      <c r="L21" s="36"/>
      <c r="M21" s="36"/>
      <c r="N21" s="31"/>
      <c r="O21" s="6"/>
      <c r="P21" s="6"/>
      <c r="Q21" s="6"/>
      <c r="R21" s="6"/>
      <c r="S21" s="6"/>
      <c r="T21" s="6"/>
    </row>
    <row r="22" spans="1:20" ht="18">
      <c r="A22" s="13" t="s">
        <v>35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31"/>
      <c r="O22" s="6"/>
      <c r="P22" s="6"/>
      <c r="Q22" s="6"/>
      <c r="R22" s="6"/>
      <c r="S22" s="6"/>
      <c r="T22" s="6"/>
    </row>
    <row r="23" spans="1:20">
      <c r="A23" s="31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1"/>
      <c r="O23" s="6"/>
      <c r="P23" s="6"/>
      <c r="Q23" s="6"/>
      <c r="R23" s="6"/>
      <c r="S23" s="6"/>
      <c r="T23" s="6"/>
    </row>
    <row r="24" spans="1:20" ht="15.75">
      <c r="A24" s="76" t="s">
        <v>36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1"/>
      <c r="O24" s="6"/>
      <c r="P24" s="6"/>
      <c r="Q24" s="6"/>
      <c r="R24" s="6"/>
      <c r="S24" s="6"/>
      <c r="T24" s="6"/>
    </row>
    <row r="25" spans="1:20">
      <c r="A25" s="31" t="s">
        <v>37</v>
      </c>
      <c r="B25" s="36"/>
      <c r="C25" s="5"/>
      <c r="D25" s="36" t="s">
        <v>38</v>
      </c>
      <c r="E25" s="64">
        <v>0.62</v>
      </c>
      <c r="F25" s="30" t="s">
        <v>39</v>
      </c>
      <c r="G25" s="64">
        <v>2.15</v>
      </c>
      <c r="H25" s="30" t="s">
        <v>40</v>
      </c>
      <c r="I25" s="64">
        <v>2</v>
      </c>
      <c r="J25" s="31" t="s">
        <v>41</v>
      </c>
      <c r="K25" s="36"/>
      <c r="L25" s="36"/>
      <c r="M25" s="36"/>
      <c r="N25" s="31"/>
      <c r="O25" s="6"/>
      <c r="P25" s="6"/>
      <c r="Q25" s="6"/>
      <c r="R25" s="6"/>
      <c r="S25" s="6"/>
      <c r="T25" s="6"/>
    </row>
    <row r="26" spans="1:20">
      <c r="A26" s="31" t="s">
        <v>42</v>
      </c>
      <c r="B26" s="36"/>
      <c r="C26" s="36"/>
      <c r="D26" s="36"/>
      <c r="E26" s="3"/>
      <c r="F26" s="36" t="s">
        <v>43</v>
      </c>
      <c r="G26" s="66">
        <v>0.9</v>
      </c>
      <c r="H26" s="31" t="s">
        <v>34</v>
      </c>
      <c r="I26" s="23"/>
      <c r="J26" s="36"/>
      <c r="K26" s="36"/>
      <c r="L26" s="36"/>
      <c r="M26" s="36"/>
      <c r="N26" s="31"/>
      <c r="O26" s="6"/>
      <c r="P26" s="6"/>
      <c r="Q26" s="6"/>
      <c r="R26" s="6"/>
      <c r="S26" s="6"/>
      <c r="T26" s="6"/>
    </row>
    <row r="27" spans="1:20">
      <c r="A27" s="31" t="s">
        <v>44</v>
      </c>
      <c r="B27" s="36"/>
      <c r="C27" s="36"/>
      <c r="D27" s="36"/>
      <c r="E27" s="5"/>
      <c r="F27" s="36" t="s">
        <v>45</v>
      </c>
      <c r="G27" s="66">
        <v>0.17</v>
      </c>
      <c r="H27" s="31" t="s">
        <v>23</v>
      </c>
      <c r="I27" s="36"/>
      <c r="J27" s="36"/>
      <c r="K27" s="36"/>
      <c r="L27" s="36"/>
      <c r="M27" s="36"/>
      <c r="N27" s="31"/>
      <c r="O27" s="6"/>
      <c r="P27" s="6"/>
      <c r="Q27" s="6"/>
      <c r="R27" s="6"/>
      <c r="S27" s="6"/>
      <c r="T27" s="6"/>
    </row>
    <row r="28" spans="1:20">
      <c r="A28" s="31" t="s">
        <v>46</v>
      </c>
      <c r="B28" s="36"/>
      <c r="C28" s="36"/>
      <c r="D28" s="36"/>
      <c r="E28" s="5"/>
      <c r="F28" s="36" t="s">
        <v>47</v>
      </c>
      <c r="G28" s="66">
        <v>0.15</v>
      </c>
      <c r="H28" s="31" t="s">
        <v>23</v>
      </c>
      <c r="I28" s="36"/>
      <c r="J28" s="36"/>
      <c r="K28" s="36"/>
      <c r="L28" s="36"/>
      <c r="M28" s="36"/>
      <c r="N28" s="31"/>
      <c r="O28" s="6"/>
      <c r="P28" s="6"/>
      <c r="Q28" s="6"/>
      <c r="R28" s="6"/>
      <c r="S28" s="6"/>
      <c r="T28" s="6"/>
    </row>
    <row r="29" spans="1:20">
      <c r="A29" s="31"/>
      <c r="B29" s="36"/>
      <c r="C29" s="36"/>
      <c r="D29" s="36"/>
      <c r="E29" s="5"/>
      <c r="F29" s="36"/>
      <c r="G29" s="23"/>
      <c r="H29" s="36"/>
      <c r="I29" s="36"/>
      <c r="J29" s="36"/>
      <c r="K29" s="36"/>
      <c r="L29" s="36"/>
      <c r="M29" s="36"/>
      <c r="N29" s="31"/>
      <c r="O29" s="6"/>
      <c r="P29" s="6"/>
      <c r="Q29" s="6"/>
      <c r="R29" s="6"/>
      <c r="S29" s="6"/>
      <c r="T29" s="6"/>
    </row>
    <row r="30" spans="1:20">
      <c r="A30" s="31" t="s">
        <v>48</v>
      </c>
      <c r="B30" s="36"/>
      <c r="C30" s="36"/>
      <c r="D30" s="36"/>
      <c r="E30" s="5"/>
      <c r="F30" s="5"/>
      <c r="G30" s="36" t="s">
        <v>49</v>
      </c>
      <c r="H30" s="54">
        <f>(PHIDWTR+PHINWTR)/2</f>
        <v>0.16</v>
      </c>
      <c r="I30" s="27" t="s">
        <v>23</v>
      </c>
      <c r="J30" s="36"/>
      <c r="K30" s="36"/>
      <c r="L30" s="36"/>
      <c r="M30" s="36"/>
      <c r="N30" s="31"/>
      <c r="O30" s="5"/>
      <c r="P30" s="5"/>
      <c r="Q30" s="5"/>
      <c r="R30" s="5"/>
      <c r="S30" s="5"/>
      <c r="T30" s="5"/>
    </row>
    <row r="31" spans="1:20">
      <c r="A31" s="31" t="s">
        <v>50</v>
      </c>
      <c r="B31" s="36"/>
      <c r="C31" s="36"/>
      <c r="D31" s="36"/>
      <c r="E31" s="5"/>
      <c r="F31" s="5"/>
      <c r="G31" s="36" t="s">
        <v>51</v>
      </c>
      <c r="H31" s="54">
        <f>(PHIWTR^M)*RO/A</f>
        <v>2.8229863788970799E-2</v>
      </c>
      <c r="I31" s="27" t="s">
        <v>52</v>
      </c>
      <c r="J31" s="36"/>
      <c r="K31" s="36"/>
      <c r="L31" s="36"/>
      <c r="M31" s="36"/>
      <c r="N31" s="31"/>
      <c r="O31" s="5"/>
      <c r="P31" s="5"/>
      <c r="Q31" s="5"/>
      <c r="R31" s="5"/>
      <c r="S31" s="5"/>
      <c r="T31" s="5"/>
    </row>
    <row r="32" spans="1:20">
      <c r="A32" s="31"/>
      <c r="B32" s="36"/>
      <c r="C32" s="36"/>
      <c r="D32" s="36"/>
      <c r="E32" s="36"/>
      <c r="F32" s="36"/>
      <c r="G32" s="36"/>
      <c r="H32" s="20"/>
      <c r="I32" s="36"/>
      <c r="J32" s="36"/>
      <c r="K32" s="36"/>
      <c r="L32" s="36"/>
      <c r="M32" s="36"/>
      <c r="N32" s="31"/>
      <c r="O32" s="5"/>
      <c r="P32" s="5"/>
      <c r="Q32" s="5"/>
      <c r="R32" s="5"/>
      <c r="S32" s="5"/>
      <c r="T32" s="5"/>
    </row>
    <row r="33" spans="1:20" ht="15.75">
      <c r="A33" s="76" t="s">
        <v>53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1"/>
      <c r="O33" s="5"/>
      <c r="P33" s="5"/>
      <c r="Q33" s="5"/>
      <c r="R33" s="5"/>
      <c r="S33" s="5"/>
      <c r="T33" s="5"/>
    </row>
    <row r="34" spans="1:20">
      <c r="A34" s="31" t="s">
        <v>54</v>
      </c>
      <c r="B34" s="5"/>
      <c r="C34" s="5"/>
      <c r="D34" s="36"/>
      <c r="E34" s="36" t="s">
        <v>55</v>
      </c>
      <c r="F34" s="66">
        <v>15</v>
      </c>
      <c r="G34" s="31"/>
      <c r="H34" s="36" t="s">
        <v>56</v>
      </c>
      <c r="I34" s="63">
        <v>71</v>
      </c>
      <c r="J34" s="31" t="s">
        <v>57</v>
      </c>
      <c r="K34" s="36"/>
      <c r="L34" s="36"/>
      <c r="M34" s="36"/>
      <c r="N34" s="31"/>
      <c r="O34" s="5"/>
      <c r="P34" s="5"/>
      <c r="Q34" s="5"/>
      <c r="R34" s="5"/>
      <c r="S34" s="5"/>
      <c r="T34" s="5"/>
    </row>
    <row r="35" spans="1:20">
      <c r="A35" s="31" t="s">
        <v>58</v>
      </c>
      <c r="B35" s="5"/>
      <c r="C35" s="5"/>
      <c r="D35" s="36" t="s">
        <v>59</v>
      </c>
      <c r="E35" s="36"/>
      <c r="F35" s="66">
        <v>2050</v>
      </c>
      <c r="G35" s="31" t="s">
        <v>60</v>
      </c>
      <c r="H35" s="36"/>
      <c r="I35" s="66">
        <v>2000</v>
      </c>
      <c r="J35" s="31" t="s">
        <v>61</v>
      </c>
      <c r="K35" s="36"/>
      <c r="L35" s="36"/>
      <c r="M35" s="36"/>
      <c r="N35" s="31"/>
      <c r="O35" s="5"/>
      <c r="P35" s="5"/>
      <c r="Q35" s="5"/>
      <c r="R35" s="5"/>
      <c r="S35" s="5"/>
      <c r="T35" s="5"/>
    </row>
    <row r="36" spans="1:20">
      <c r="A36" s="31" t="s">
        <v>62</v>
      </c>
      <c r="B36" s="36"/>
      <c r="C36" s="36"/>
      <c r="D36" s="36" t="s">
        <v>63</v>
      </c>
      <c r="E36" s="36"/>
      <c r="F36" s="65">
        <v>0.05</v>
      </c>
      <c r="G36" s="31" t="s">
        <v>34</v>
      </c>
      <c r="H36" s="36" t="s">
        <v>64</v>
      </c>
      <c r="I36" s="66">
        <v>25</v>
      </c>
      <c r="J36" s="31" t="s">
        <v>57</v>
      </c>
      <c r="K36" s="36" t="s">
        <v>65</v>
      </c>
      <c r="L36" s="75">
        <v>21.5</v>
      </c>
      <c r="M36" s="31"/>
      <c r="N36" s="31"/>
      <c r="O36" s="5"/>
      <c r="P36" s="5"/>
      <c r="Q36" s="5"/>
      <c r="R36" s="5"/>
      <c r="S36" s="5"/>
      <c r="T36" s="5"/>
    </row>
    <row r="37" spans="1:20">
      <c r="A37" s="31"/>
      <c r="B37" s="36"/>
      <c r="C37" s="36"/>
      <c r="D37" s="36"/>
      <c r="E37" s="36"/>
      <c r="F37" s="23"/>
      <c r="G37" s="36"/>
      <c r="H37" s="36"/>
      <c r="I37" s="23"/>
      <c r="J37" s="36"/>
      <c r="K37" s="36"/>
      <c r="L37" s="23"/>
      <c r="M37" s="36"/>
      <c r="N37" s="31"/>
      <c r="O37" s="5"/>
      <c r="P37" s="5"/>
      <c r="Q37" s="5"/>
      <c r="R37" s="5"/>
      <c r="S37" s="5"/>
      <c r="T37" s="5"/>
    </row>
    <row r="38" spans="1:20">
      <c r="A38" s="31" t="s">
        <v>66</v>
      </c>
      <c r="B38" s="36"/>
      <c r="C38" s="36"/>
      <c r="D38" s="36"/>
      <c r="E38" s="36"/>
      <c r="F38" s="5"/>
      <c r="G38" s="36" t="s">
        <v>67</v>
      </c>
      <c r="H38" s="56">
        <f>(BHT-SUFT)/BHTDEPTH</f>
        <v>2.8000000000000001E-2</v>
      </c>
      <c r="I38" s="27" t="s">
        <v>68</v>
      </c>
      <c r="J38" s="36"/>
      <c r="K38" s="36"/>
      <c r="L38" s="36"/>
      <c r="M38" s="36"/>
      <c r="N38" s="31"/>
      <c r="O38" s="5"/>
      <c r="P38" s="5"/>
      <c r="Q38" s="5"/>
      <c r="R38" s="5"/>
      <c r="S38" s="5"/>
      <c r="T38" s="5"/>
    </row>
    <row r="39" spans="1:20">
      <c r="A39" s="31" t="s">
        <v>69</v>
      </c>
      <c r="B39" s="36"/>
      <c r="C39" s="36"/>
      <c r="D39" s="36"/>
      <c r="E39" s="36"/>
      <c r="F39" s="5"/>
      <c r="G39" s="36" t="s">
        <v>70</v>
      </c>
      <c r="H39" s="56">
        <f>SUFT+GRAD*DEPTH</f>
        <v>72.400000000000006</v>
      </c>
      <c r="I39" s="27" t="s">
        <v>57</v>
      </c>
      <c r="J39" s="36"/>
      <c r="K39" s="36"/>
      <c r="L39" s="36"/>
      <c r="M39" s="36"/>
      <c r="N39" s="31"/>
      <c r="O39" s="5"/>
      <c r="P39" s="5"/>
      <c r="Q39" s="5"/>
      <c r="R39" s="5"/>
      <c r="S39" s="5"/>
      <c r="T39" s="5"/>
    </row>
    <row r="40" spans="1:20">
      <c r="A40" s="31" t="s">
        <v>71</v>
      </c>
      <c r="B40" s="36"/>
      <c r="C40" s="36"/>
      <c r="D40" s="36"/>
      <c r="E40" s="36"/>
      <c r="F40" s="5"/>
      <c r="G40" s="36" t="s">
        <v>72</v>
      </c>
      <c r="H40" s="54">
        <f>RWCAT*(TRW+KT_1)/(FT+KT_1)</f>
        <v>2.4760383386581469E-2</v>
      </c>
      <c r="I40" s="27" t="s">
        <v>52</v>
      </c>
      <c r="J40" s="36"/>
      <c r="K40" s="36"/>
      <c r="L40" s="36"/>
      <c r="M40" s="36"/>
      <c r="N40" s="31"/>
      <c r="O40" s="5"/>
      <c r="P40" s="5"/>
      <c r="Q40" s="5"/>
      <c r="R40" s="5"/>
      <c r="S40" s="5"/>
      <c r="T40" s="5"/>
    </row>
    <row r="41" spans="1:20">
      <c r="A41" s="31"/>
      <c r="B41" s="36"/>
      <c r="C41" s="36"/>
      <c r="D41" s="36"/>
      <c r="E41" s="36"/>
      <c r="F41" s="36"/>
      <c r="G41" s="36"/>
      <c r="H41" s="20"/>
      <c r="I41" s="36"/>
      <c r="J41" s="36"/>
      <c r="K41" s="36"/>
      <c r="L41" s="36"/>
      <c r="M41" s="36"/>
      <c r="N41" s="31"/>
      <c r="O41" s="5"/>
      <c r="P41" s="5"/>
      <c r="Q41" s="5"/>
      <c r="R41" s="5"/>
      <c r="S41" s="5"/>
      <c r="T41" s="5"/>
    </row>
    <row r="42" spans="1:20" ht="15.75">
      <c r="A42" s="76" t="s">
        <v>73</v>
      </c>
      <c r="B42" s="77"/>
      <c r="C42" s="77"/>
      <c r="D42" s="5"/>
      <c r="E42" s="5"/>
      <c r="F42" s="5"/>
      <c r="G42" s="77" t="s">
        <v>74</v>
      </c>
      <c r="H42" s="54">
        <f>RW_2</f>
        <v>2.4760383386581469E-2</v>
      </c>
      <c r="I42" s="27" t="s">
        <v>52</v>
      </c>
      <c r="J42" s="77"/>
      <c r="K42" s="77"/>
      <c r="L42" s="77"/>
      <c r="M42" s="77"/>
      <c r="N42" s="31"/>
      <c r="O42" s="5"/>
      <c r="P42" s="5"/>
      <c r="Q42" s="5"/>
      <c r="R42" s="5"/>
      <c r="S42" s="5"/>
      <c r="T42" s="5"/>
    </row>
    <row r="43" spans="1:20">
      <c r="A43" s="31"/>
      <c r="B43" s="36"/>
      <c r="C43" s="36"/>
      <c r="D43" s="36"/>
      <c r="E43" s="36"/>
      <c r="F43" s="36"/>
      <c r="G43" s="36"/>
      <c r="H43" s="20"/>
      <c r="I43" s="36"/>
      <c r="J43" s="36"/>
      <c r="K43" s="36"/>
      <c r="L43" s="36"/>
      <c r="M43" s="36"/>
      <c r="N43" s="31"/>
      <c r="O43" s="5"/>
      <c r="P43" s="5"/>
      <c r="Q43" s="5"/>
      <c r="R43" s="5"/>
      <c r="S43" s="5"/>
      <c r="T43" s="5"/>
    </row>
    <row r="44" spans="1:20" ht="18">
      <c r="A44" s="13" t="s">
        <v>75</v>
      </c>
      <c r="B44" s="17"/>
      <c r="C44" s="17"/>
      <c r="D44" s="17"/>
      <c r="E44" s="17" t="s">
        <v>76</v>
      </c>
      <c r="F44" s="17"/>
      <c r="G44" s="17" t="s">
        <v>77</v>
      </c>
      <c r="H44" s="17"/>
      <c r="I44" s="17" t="s">
        <v>78</v>
      </c>
      <c r="J44" s="17"/>
      <c r="K44" s="17" t="s">
        <v>79</v>
      </c>
      <c r="L44" s="17"/>
      <c r="M44" s="17"/>
      <c r="N44" s="4"/>
      <c r="O44" s="5"/>
      <c r="P44" s="34"/>
      <c r="Q44" s="5"/>
      <c r="R44" s="5"/>
      <c r="S44" s="34"/>
      <c r="T44" s="34"/>
    </row>
    <row r="45" spans="1:20">
      <c r="A45" s="31"/>
      <c r="B45" s="71"/>
      <c r="C45" s="71"/>
      <c r="D45" s="71"/>
      <c r="E45" s="71"/>
      <c r="F45" s="71"/>
      <c r="G45" s="71"/>
      <c r="H45" s="69"/>
      <c r="I45" s="69"/>
      <c r="J45" s="69"/>
      <c r="K45" s="35"/>
      <c r="L45" s="36"/>
      <c r="M45" s="36"/>
      <c r="N45" s="4"/>
      <c r="O45" s="5"/>
      <c r="P45" s="5"/>
      <c r="Q45" s="5"/>
      <c r="R45" s="5"/>
      <c r="S45" s="34"/>
      <c r="T45" s="34"/>
    </row>
    <row r="46" spans="1:20">
      <c r="A46" s="31" t="s">
        <v>80</v>
      </c>
      <c r="B46" s="71"/>
      <c r="C46" s="71" t="s">
        <v>81</v>
      </c>
      <c r="D46" s="71" t="s">
        <v>4</v>
      </c>
      <c r="E46" s="5"/>
      <c r="F46" s="63">
        <v>2054.5</v>
      </c>
      <c r="G46" s="58"/>
      <c r="H46" s="63">
        <f>2056</f>
        <v>2056</v>
      </c>
      <c r="I46" s="59"/>
      <c r="J46" s="63">
        <v>2058</v>
      </c>
      <c r="K46" s="58"/>
      <c r="L46" s="63" t="e">
        <f>NA()</f>
        <v>#N/A</v>
      </c>
      <c r="M46" s="29"/>
      <c r="N46" s="4"/>
      <c r="O46" s="5"/>
      <c r="P46" s="5"/>
      <c r="Q46" s="5"/>
      <c r="R46" s="5"/>
      <c r="S46" s="34"/>
      <c r="T46" s="34"/>
    </row>
    <row r="47" spans="1:20">
      <c r="A47" s="31" t="s">
        <v>82</v>
      </c>
      <c r="B47" s="71"/>
      <c r="C47" s="71" t="s">
        <v>83</v>
      </c>
      <c r="D47" s="71" t="s">
        <v>4</v>
      </c>
      <c r="E47" s="5"/>
      <c r="F47" s="63">
        <v>2056</v>
      </c>
      <c r="G47" s="58"/>
      <c r="H47" s="63">
        <v>2058</v>
      </c>
      <c r="I47" s="59"/>
      <c r="J47" s="63">
        <v>2060</v>
      </c>
      <c r="K47" s="58"/>
      <c r="L47" s="63" t="e">
        <f>NA()</f>
        <v>#N/A</v>
      </c>
      <c r="M47" s="29"/>
      <c r="N47" s="4"/>
      <c r="O47" s="5"/>
      <c r="P47" s="5"/>
      <c r="Q47" s="5"/>
      <c r="R47" s="5"/>
      <c r="S47" s="34"/>
      <c r="T47" s="34"/>
    </row>
    <row r="48" spans="1:20">
      <c r="A48" s="31" t="s">
        <v>84</v>
      </c>
      <c r="B48" s="71"/>
      <c r="C48" s="71" t="s">
        <v>85</v>
      </c>
      <c r="D48" s="71" t="s">
        <v>86</v>
      </c>
      <c r="E48" s="5"/>
      <c r="F48" s="63">
        <v>40</v>
      </c>
      <c r="G48" s="58"/>
      <c r="H48" s="63">
        <v>30</v>
      </c>
      <c r="I48" s="58"/>
      <c r="J48" s="63">
        <v>30</v>
      </c>
      <c r="K48" s="58"/>
      <c r="L48" s="63" t="e">
        <f>NA()</f>
        <v>#N/A</v>
      </c>
      <c r="M48" s="31"/>
      <c r="N48" s="4"/>
      <c r="O48" s="5"/>
      <c r="P48" s="5"/>
      <c r="Q48" s="5"/>
      <c r="R48" s="5"/>
      <c r="S48" s="34"/>
      <c r="T48" s="34"/>
    </row>
    <row r="49" spans="1:20">
      <c r="A49" s="31" t="s">
        <v>87</v>
      </c>
      <c r="B49" s="71"/>
      <c r="C49" s="71" t="s">
        <v>88</v>
      </c>
      <c r="D49" s="71" t="s">
        <v>89</v>
      </c>
      <c r="E49" s="5"/>
      <c r="F49" s="65">
        <v>0.13</v>
      </c>
      <c r="G49" s="60"/>
      <c r="H49" s="65">
        <v>0.185</v>
      </c>
      <c r="I49" s="60"/>
      <c r="J49" s="65">
        <v>0.14000000000000001</v>
      </c>
      <c r="K49" s="60"/>
      <c r="L49" s="63" t="e">
        <f>NA()</f>
        <v>#N/A</v>
      </c>
      <c r="M49" s="31"/>
      <c r="N49" s="4"/>
      <c r="O49" s="5"/>
      <c r="P49" s="5"/>
      <c r="Q49" s="5"/>
      <c r="R49" s="5"/>
      <c r="S49" s="34"/>
      <c r="T49" s="34"/>
    </row>
    <row r="50" spans="1:20">
      <c r="A50" s="31" t="s">
        <v>90</v>
      </c>
      <c r="B50" s="71"/>
      <c r="C50" s="71" t="s">
        <v>91</v>
      </c>
      <c r="D50" s="71" t="s">
        <v>89</v>
      </c>
      <c r="E50" s="5"/>
      <c r="F50" s="65">
        <v>0.08</v>
      </c>
      <c r="G50" s="60"/>
      <c r="H50" s="65">
        <v>0.16500000000000001</v>
      </c>
      <c r="I50" s="60"/>
      <c r="J50" s="65">
        <v>0.09</v>
      </c>
      <c r="K50" s="60"/>
      <c r="L50" s="63" t="e">
        <f>NA()</f>
        <v>#N/A</v>
      </c>
      <c r="M50" s="31"/>
      <c r="N50" s="4"/>
      <c r="O50" s="5"/>
      <c r="P50" s="5"/>
      <c r="Q50" s="5"/>
      <c r="R50" s="5"/>
      <c r="S50" s="34"/>
      <c r="T50" s="34"/>
    </row>
    <row r="51" spans="1:20">
      <c r="A51" s="31" t="s">
        <v>92</v>
      </c>
      <c r="B51" s="71"/>
      <c r="C51" s="71" t="s">
        <v>93</v>
      </c>
      <c r="D51" s="71" t="s">
        <v>94</v>
      </c>
      <c r="E51" s="5"/>
      <c r="F51" s="62">
        <v>220</v>
      </c>
      <c r="G51" s="57"/>
      <c r="H51" s="62">
        <v>250</v>
      </c>
      <c r="I51" s="57"/>
      <c r="J51" s="62">
        <v>220</v>
      </c>
      <c r="K51" s="57"/>
      <c r="L51" s="63" t="e">
        <f>NA()</f>
        <v>#N/A</v>
      </c>
      <c r="M51" s="31"/>
      <c r="N51" s="4"/>
      <c r="O51" s="5"/>
      <c r="P51" s="5"/>
      <c r="Q51" s="5"/>
      <c r="R51" s="5"/>
      <c r="S51" s="34"/>
      <c r="T51" s="34"/>
    </row>
    <row r="52" spans="1:20">
      <c r="A52" s="31" t="s">
        <v>95</v>
      </c>
      <c r="B52" s="71"/>
      <c r="C52" s="71" t="s">
        <v>96</v>
      </c>
      <c r="D52" s="71" t="s">
        <v>97</v>
      </c>
      <c r="E52" s="5"/>
      <c r="F52" s="62">
        <v>35</v>
      </c>
      <c r="G52" s="57"/>
      <c r="H52" s="62">
        <v>30</v>
      </c>
      <c r="I52" s="57"/>
      <c r="J52" s="62">
        <v>30</v>
      </c>
      <c r="K52" s="57"/>
      <c r="L52" s="63" t="e">
        <f>NA()</f>
        <v>#N/A</v>
      </c>
      <c r="M52" s="31"/>
      <c r="N52" s="4"/>
      <c r="O52" s="5"/>
      <c r="P52" s="5"/>
      <c r="Q52" s="5"/>
      <c r="R52" s="5"/>
      <c r="S52" s="34"/>
      <c r="T52" s="34"/>
    </row>
    <row r="53" spans="1:20">
      <c r="A53" s="31" t="s">
        <v>98</v>
      </c>
      <c r="B53" s="71"/>
      <c r="C53" s="71" t="s">
        <v>99</v>
      </c>
      <c r="D53" s="71" t="s">
        <v>100</v>
      </c>
      <c r="E53" s="5"/>
      <c r="F53" s="62">
        <v>-50</v>
      </c>
      <c r="G53" s="57"/>
      <c r="H53" s="62">
        <v>-50</v>
      </c>
      <c r="I53" s="57"/>
      <c r="J53" s="62">
        <v>-50</v>
      </c>
      <c r="K53" s="57"/>
      <c r="L53" s="63" t="e">
        <f>NA()</f>
        <v>#N/A</v>
      </c>
      <c r="M53" s="31"/>
      <c r="N53" s="4"/>
      <c r="O53" s="5"/>
      <c r="P53" s="5"/>
      <c r="Q53" s="5"/>
      <c r="R53" s="5"/>
      <c r="S53" s="34"/>
      <c r="T53" s="34"/>
    </row>
    <row r="54" spans="1:20">
      <c r="A54" s="31" t="s">
        <v>101</v>
      </c>
      <c r="B54" s="71"/>
      <c r="C54" s="71" t="s">
        <v>102</v>
      </c>
      <c r="D54" s="71" t="s">
        <v>103</v>
      </c>
      <c r="E54" s="5"/>
      <c r="F54" s="64">
        <v>2.6</v>
      </c>
      <c r="G54" s="59"/>
      <c r="H54" s="64">
        <v>2.5</v>
      </c>
      <c r="I54" s="59"/>
      <c r="J54" s="64">
        <v>2.7</v>
      </c>
      <c r="K54" s="59"/>
      <c r="L54" s="63" t="e">
        <f>NA()</f>
        <v>#N/A</v>
      </c>
      <c r="M54" s="31"/>
      <c r="N54" s="4"/>
      <c r="O54" s="5"/>
      <c r="P54" s="5"/>
      <c r="Q54" s="5"/>
      <c r="R54" s="5"/>
      <c r="S54" s="34"/>
      <c r="T54" s="34"/>
    </row>
    <row r="55" spans="1:20">
      <c r="A55" s="31" t="s">
        <v>104</v>
      </c>
      <c r="B55" s="71"/>
      <c r="C55" s="71" t="s">
        <v>105</v>
      </c>
      <c r="D55" s="71" t="s">
        <v>106</v>
      </c>
      <c r="E55" s="5"/>
      <c r="F55" s="62">
        <v>203</v>
      </c>
      <c r="G55" s="57"/>
      <c r="H55" s="62">
        <v>200</v>
      </c>
      <c r="I55" s="57"/>
      <c r="J55" s="62">
        <v>200</v>
      </c>
      <c r="K55" s="57"/>
      <c r="L55" s="63" t="e">
        <f>NA()</f>
        <v>#N/A</v>
      </c>
      <c r="M55" s="31"/>
      <c r="N55" s="4"/>
      <c r="O55" s="5"/>
      <c r="P55" s="5"/>
      <c r="Q55" s="5"/>
      <c r="R55" s="5"/>
      <c r="S55" s="34"/>
      <c r="T55" s="34"/>
    </row>
    <row r="56" spans="1:20">
      <c r="A56" s="31"/>
      <c r="B56" s="36"/>
      <c r="C56" s="36"/>
      <c r="D56" s="36"/>
      <c r="E56" s="36"/>
      <c r="F56" s="22"/>
      <c r="G56" s="34"/>
      <c r="H56" s="23"/>
      <c r="I56" s="33"/>
      <c r="J56" s="21"/>
      <c r="K56" s="33"/>
      <c r="L56" s="21"/>
      <c r="M56" s="34"/>
      <c r="N56" s="29"/>
      <c r="O56" s="35"/>
      <c r="P56" s="33"/>
      <c r="Q56" s="35"/>
      <c r="R56" s="34"/>
      <c r="S56" s="34"/>
      <c r="T56" s="34"/>
    </row>
    <row r="57" spans="1:20" ht="18">
      <c r="A57" s="13" t="s">
        <v>107</v>
      </c>
      <c r="B57" s="17"/>
      <c r="C57" s="17"/>
      <c r="D57" s="17"/>
      <c r="E57" s="17" t="s">
        <v>76</v>
      </c>
      <c r="F57" s="17"/>
      <c r="G57" s="17" t="s">
        <v>77</v>
      </c>
      <c r="H57" s="17"/>
      <c r="I57" s="17" t="s">
        <v>78</v>
      </c>
      <c r="J57" s="17"/>
      <c r="K57" s="17" t="s">
        <v>79</v>
      </c>
      <c r="L57" s="17"/>
      <c r="M57" s="17"/>
      <c r="N57" s="29"/>
      <c r="O57" s="35"/>
      <c r="P57" s="33"/>
      <c r="Q57" s="35"/>
      <c r="R57" s="34"/>
      <c r="S57" s="34"/>
      <c r="T57" s="34"/>
    </row>
    <row r="58" spans="1:20">
      <c r="A58" s="30"/>
      <c r="B58" s="68"/>
      <c r="C58" s="68"/>
      <c r="D58" s="68"/>
      <c r="E58" s="67"/>
      <c r="F58" s="67"/>
      <c r="G58" s="67"/>
      <c r="H58" s="67"/>
      <c r="I58" s="68"/>
      <c r="J58" s="68"/>
      <c r="K58" s="69"/>
      <c r="L58" s="67"/>
      <c r="M58" s="35"/>
      <c r="N58" s="29"/>
      <c r="O58" s="34"/>
      <c r="P58" s="33"/>
      <c r="Q58" s="35"/>
      <c r="R58" s="34"/>
      <c r="S58" s="34"/>
      <c r="T58" s="34"/>
    </row>
    <row r="59" spans="1:20">
      <c r="A59" s="30" t="s">
        <v>108</v>
      </c>
      <c r="B59" s="71"/>
      <c r="C59" s="34"/>
      <c r="D59" s="71"/>
      <c r="E59" s="71"/>
      <c r="F59" s="68"/>
      <c r="G59" s="68"/>
      <c r="H59" s="71"/>
      <c r="I59" s="67"/>
      <c r="J59" s="67"/>
      <c r="K59" s="67"/>
      <c r="L59" s="67"/>
      <c r="M59" s="34"/>
      <c r="N59" s="29"/>
      <c r="O59" s="35"/>
      <c r="P59" s="33"/>
      <c r="Q59" s="35"/>
      <c r="R59" s="34"/>
      <c r="S59" s="34"/>
      <c r="T59" s="34"/>
    </row>
    <row r="60" spans="1:20">
      <c r="A60" s="30" t="s">
        <v>109</v>
      </c>
      <c r="B60" s="68"/>
      <c r="C60" s="68"/>
      <c r="D60" s="71"/>
      <c r="E60" s="5"/>
      <c r="F60" s="53">
        <f>(GR-GR_0)/(GR_100-GR_0)</f>
        <v>4.3478260869565216E-2</v>
      </c>
      <c r="G60" s="48"/>
      <c r="H60" s="53">
        <f>(H52-GR_0)/(GR_100-GR_0)</f>
        <v>0</v>
      </c>
      <c r="I60" s="48"/>
      <c r="J60" s="53">
        <f>(J52-GR_0)/(GR_100-GR_0)</f>
        <v>0</v>
      </c>
      <c r="K60" s="48"/>
      <c r="L60" s="53" t="e">
        <f>(L52-GR_0)/(GR_100-GR_0)</f>
        <v>#N/A</v>
      </c>
      <c r="M60" s="26"/>
      <c r="N60" s="29"/>
      <c r="O60" s="35"/>
      <c r="P60" s="33"/>
      <c r="Q60" s="35"/>
      <c r="R60" s="34"/>
      <c r="S60" s="34"/>
      <c r="T60" s="34"/>
    </row>
    <row r="61" spans="1:20">
      <c r="A61" s="30" t="s">
        <v>110</v>
      </c>
      <c r="B61" s="68"/>
      <c r="C61" s="68"/>
      <c r="D61" s="71"/>
      <c r="E61" s="5"/>
      <c r="F61" s="53">
        <f>(SP-SP_0)/(SP_100-SP_0)</f>
        <v>1</v>
      </c>
      <c r="G61" s="48"/>
      <c r="H61" s="53">
        <f>(H53-SP_0)/(SP_100-SP_0)</f>
        <v>1</v>
      </c>
      <c r="I61" s="48"/>
      <c r="J61" s="53">
        <f>(J53-SP_0)/(SP_100-SP_0)</f>
        <v>1</v>
      </c>
      <c r="K61" s="48"/>
      <c r="L61" s="53" t="e">
        <f>(L53-SP_0)/(SP_100-SP_0)</f>
        <v>#N/A</v>
      </c>
      <c r="M61" s="26"/>
      <c r="N61" s="29"/>
      <c r="O61" s="35"/>
      <c r="P61" s="33"/>
      <c r="Q61" s="35"/>
      <c r="R61" s="34"/>
      <c r="S61" s="34"/>
      <c r="T61" s="34"/>
    </row>
    <row r="62" spans="1:20">
      <c r="A62" s="30" t="s">
        <v>111</v>
      </c>
      <c r="B62" s="68"/>
      <c r="C62" s="68"/>
      <c r="D62" s="71"/>
      <c r="E62" s="5"/>
      <c r="F62" s="53">
        <f>(PHIN-PHID)/(PHINSH-PHIDSH)</f>
        <v>0.23809523809523811</v>
      </c>
      <c r="G62" s="48"/>
      <c r="H62" s="53">
        <f>(H49-H50)/(PHINSH-PHIDSH)</f>
        <v>9.5238095238095191E-2</v>
      </c>
      <c r="I62" s="48"/>
      <c r="J62" s="53">
        <f>(J49-J50)/(PHINSH-PHIDSH)</f>
        <v>0.23809523809523819</v>
      </c>
      <c r="K62" s="48"/>
      <c r="L62" s="53" t="e">
        <f>(L49-L50)/(PHINSH-PHIDSH)</f>
        <v>#N/A</v>
      </c>
      <c r="M62" s="26"/>
      <c r="N62" s="29"/>
      <c r="O62" s="35"/>
      <c r="P62" s="33"/>
      <c r="Q62" s="35"/>
      <c r="R62" s="34"/>
      <c r="S62" s="34"/>
      <c r="T62" s="34"/>
    </row>
    <row r="63" spans="1:20">
      <c r="A63" s="30" t="s">
        <v>112</v>
      </c>
      <c r="B63" s="68"/>
      <c r="C63" s="68"/>
      <c r="D63" s="71"/>
      <c r="E63" s="5"/>
      <c r="F63" s="53">
        <f>MIN(VSHG,VSHS)</f>
        <v>4.3478260869565216E-2</v>
      </c>
      <c r="G63" s="48"/>
      <c r="H63" s="53">
        <f>MIN(H60,H61)</f>
        <v>0</v>
      </c>
      <c r="I63" s="48"/>
      <c r="J63" s="53">
        <f>MIN(J60,J61)</f>
        <v>0</v>
      </c>
      <c r="K63" s="48"/>
      <c r="L63" s="53" t="e">
        <f>MIN(L60,L61)</f>
        <v>#N/A</v>
      </c>
      <c r="M63" s="26"/>
      <c r="N63" s="29"/>
      <c r="O63" s="35"/>
      <c r="P63" s="33"/>
      <c r="Q63" s="35"/>
      <c r="R63" s="34"/>
      <c r="S63" s="34"/>
      <c r="T63" s="34"/>
    </row>
    <row r="64" spans="1:20">
      <c r="A64" s="30"/>
      <c r="B64" s="68"/>
      <c r="C64" s="68"/>
      <c r="D64" s="71"/>
      <c r="E64" s="67"/>
      <c r="F64" s="38"/>
      <c r="G64" s="71"/>
      <c r="H64" s="41"/>
      <c r="I64" s="71"/>
      <c r="J64" s="41"/>
      <c r="K64" s="71"/>
      <c r="L64" s="41"/>
      <c r="M64" s="35"/>
      <c r="N64" s="29"/>
      <c r="O64" s="35"/>
      <c r="P64" s="33"/>
      <c r="Q64" s="35"/>
      <c r="R64" s="34"/>
      <c r="S64" s="34"/>
      <c r="T64" s="34"/>
    </row>
    <row r="65" spans="1:20">
      <c r="A65" s="30" t="s">
        <v>113</v>
      </c>
      <c r="B65" s="68"/>
      <c r="C65" s="68"/>
      <c r="D65" s="71"/>
      <c r="E65" s="67" t="s">
        <v>114</v>
      </c>
      <c r="F65" s="62">
        <v>656</v>
      </c>
      <c r="G65" s="80"/>
      <c r="H65" s="71" t="s">
        <v>115</v>
      </c>
      <c r="I65" s="66">
        <v>165</v>
      </c>
      <c r="J65" s="37" t="s">
        <v>28</v>
      </c>
      <c r="K65" s="71"/>
      <c r="L65" s="71"/>
      <c r="M65" s="35"/>
      <c r="N65" s="29"/>
      <c r="O65" s="35"/>
      <c r="P65" s="33"/>
      <c r="Q65" s="35"/>
      <c r="R65" s="34"/>
      <c r="S65" s="34"/>
      <c r="T65" s="34"/>
    </row>
    <row r="66" spans="1:20">
      <c r="A66" s="4"/>
      <c r="B66" s="5"/>
      <c r="C66" s="5"/>
      <c r="D66" s="5"/>
      <c r="E66" s="5"/>
      <c r="F66" s="78"/>
      <c r="G66" s="68"/>
      <c r="H66" s="67"/>
      <c r="I66" s="42"/>
      <c r="J66" s="67"/>
      <c r="K66" s="67"/>
      <c r="L66" s="67"/>
      <c r="M66" s="34"/>
      <c r="N66" s="29"/>
      <c r="O66" s="35"/>
      <c r="P66" s="33"/>
      <c r="Q66" s="35"/>
      <c r="R66" s="34"/>
      <c r="S66" s="34"/>
      <c r="T66" s="34"/>
    </row>
    <row r="67" spans="1:20">
      <c r="A67" s="31" t="s">
        <v>116</v>
      </c>
      <c r="B67" s="36"/>
      <c r="C67" s="36"/>
      <c r="D67" s="36"/>
      <c r="E67" s="36" t="s">
        <v>117</v>
      </c>
      <c r="F67" s="54">
        <f>PHIN-(VSH*PHINSH)</f>
        <v>0.12217391304347827</v>
      </c>
      <c r="G67" s="49"/>
      <c r="H67" s="54">
        <f>H49-(H63*PHINSH)</f>
        <v>0.185</v>
      </c>
      <c r="I67" s="49"/>
      <c r="J67" s="54">
        <f>J49-(J63*PHINSH)</f>
        <v>0.14000000000000001</v>
      </c>
      <c r="K67" s="49"/>
      <c r="L67" s="54" t="e">
        <f>L49-(L63*PHINSH)</f>
        <v>#N/A</v>
      </c>
      <c r="M67" s="25"/>
      <c r="N67" s="29"/>
      <c r="O67" s="35"/>
      <c r="P67" s="33"/>
      <c r="Q67" s="35"/>
      <c r="R67" s="34"/>
      <c r="S67" s="34"/>
      <c r="T67" s="34"/>
    </row>
    <row r="68" spans="1:20">
      <c r="A68" s="31" t="s">
        <v>118</v>
      </c>
      <c r="B68" s="36"/>
      <c r="C68" s="36"/>
      <c r="D68" s="36"/>
      <c r="E68" s="36" t="s">
        <v>119</v>
      </c>
      <c r="F68" s="54">
        <f>PHID-(VSH*PHIDSH)</f>
        <v>8.1304347826086962E-2</v>
      </c>
      <c r="G68" s="49"/>
      <c r="H68" s="54">
        <f>H50-(H63*PHIDSH)</f>
        <v>0.16500000000000001</v>
      </c>
      <c r="I68" s="49"/>
      <c r="J68" s="54">
        <f>J50-(J63*PHIDSH)</f>
        <v>0.09</v>
      </c>
      <c r="K68" s="49"/>
      <c r="L68" s="54" t="e">
        <f>L50-(L63*PHIDSH)</f>
        <v>#N/A</v>
      </c>
      <c r="M68" s="25"/>
      <c r="N68" s="29"/>
      <c r="O68" s="35"/>
      <c r="P68" s="33"/>
      <c r="Q68" s="35"/>
      <c r="R68" s="34"/>
      <c r="S68" s="34"/>
      <c r="T68" s="34"/>
    </row>
    <row r="69" spans="1:20">
      <c r="A69" s="31" t="s">
        <v>120</v>
      </c>
      <c r="B69" s="36"/>
      <c r="C69" s="36"/>
      <c r="D69" s="36"/>
      <c r="E69" s="36" t="s">
        <v>242</v>
      </c>
      <c r="F69" s="54">
        <f>(PHINC+PHIDC)/2</f>
        <v>0.10173913043478261</v>
      </c>
      <c r="G69" s="49"/>
      <c r="H69" s="54">
        <f>(H67+H68)/2</f>
        <v>0.17499999999999999</v>
      </c>
      <c r="I69" s="49"/>
      <c r="J69" s="54">
        <f>(J67+J68)/2</f>
        <v>0.115</v>
      </c>
      <c r="K69" s="49"/>
      <c r="L69" s="54" t="e">
        <f>(L67+L68)/2</f>
        <v>#N/A</v>
      </c>
      <c r="M69" s="25"/>
      <c r="N69" s="29"/>
      <c r="O69" s="35"/>
      <c r="P69" s="33"/>
      <c r="Q69" s="35"/>
      <c r="R69" s="34"/>
      <c r="S69" s="34"/>
      <c r="T69" s="34"/>
    </row>
    <row r="70" spans="1:20">
      <c r="A70" s="31" t="s">
        <v>121</v>
      </c>
      <c r="B70" s="36"/>
      <c r="C70" s="36"/>
      <c r="D70" s="36"/>
      <c r="E70" s="36" t="s">
        <v>122</v>
      </c>
      <c r="F70" s="54">
        <f>(DELT-(1-VSH)*DELTMA-VSH*DELTSH)/(DELTW-DELTMA)</f>
        <v>0.10891702824758698</v>
      </c>
      <c r="G70" s="49"/>
      <c r="H70" s="54">
        <f>(H51-(1-H63)*DELTMA-H63*DELTSH)/(DELTW-DELTMA)</f>
        <v>0.17311608961303462</v>
      </c>
      <c r="I70" s="49"/>
      <c r="J70" s="54">
        <f>(J51-(1-J63)*DELTMA-J63*DELTSH)/(DELTW-DELTMA)</f>
        <v>0.11201629327902241</v>
      </c>
      <c r="K70" s="49"/>
      <c r="L70" s="54" t="e">
        <f>(L51-(1-L63)*DELTMA-L63*DELTSH)/(DELTW-DELTMA)</f>
        <v>#N/A</v>
      </c>
      <c r="M70" s="25"/>
      <c r="N70" s="29"/>
      <c r="O70" s="35"/>
      <c r="P70" s="33"/>
      <c r="Q70" s="35"/>
      <c r="R70" s="34"/>
      <c r="S70" s="34"/>
      <c r="T70" s="34"/>
    </row>
    <row r="71" spans="1:20">
      <c r="A71" s="31" t="s">
        <v>123</v>
      </c>
      <c r="B71" s="36"/>
      <c r="C71" s="36"/>
      <c r="D71" s="36"/>
      <c r="E71" s="36" t="s">
        <v>124</v>
      </c>
      <c r="F71" s="54">
        <f>PHIXDN</f>
        <v>0.10173913043478261</v>
      </c>
      <c r="G71" s="49"/>
      <c r="H71" s="54">
        <f>H69</f>
        <v>0.17499999999999999</v>
      </c>
      <c r="I71" s="49"/>
      <c r="J71" s="54">
        <f>J69</f>
        <v>0.115</v>
      </c>
      <c r="K71" s="49"/>
      <c r="L71" s="54" t="e">
        <f>L69</f>
        <v>#N/A</v>
      </c>
      <c r="M71" s="25"/>
      <c r="N71" s="29"/>
      <c r="O71" s="35"/>
      <c r="P71" s="33"/>
      <c r="Q71" s="35"/>
      <c r="R71" s="34"/>
      <c r="S71" s="34"/>
      <c r="T71" s="34"/>
    </row>
    <row r="72" spans="1:20">
      <c r="A72" s="31"/>
      <c r="B72" s="36"/>
      <c r="C72" s="36"/>
      <c r="D72" s="36"/>
      <c r="E72" s="36"/>
      <c r="F72" s="41"/>
      <c r="G72" s="68"/>
      <c r="H72" s="41"/>
      <c r="I72" s="67"/>
      <c r="J72" s="38"/>
      <c r="K72" s="67"/>
      <c r="L72" s="38"/>
      <c r="M72" s="34"/>
      <c r="N72" s="29"/>
      <c r="O72" s="35"/>
      <c r="P72" s="33"/>
      <c r="Q72" s="35"/>
      <c r="R72" s="34"/>
      <c r="S72" s="34"/>
      <c r="T72" s="34"/>
    </row>
    <row r="73" spans="1:20">
      <c r="A73" s="31" t="s">
        <v>125</v>
      </c>
      <c r="B73" s="36"/>
      <c r="C73" s="36"/>
      <c r="D73" s="36"/>
      <c r="E73" s="36"/>
      <c r="F73" s="71"/>
      <c r="G73" s="68"/>
      <c r="H73" s="71"/>
      <c r="I73" s="67"/>
      <c r="J73" s="67"/>
      <c r="K73" s="67"/>
      <c r="L73" s="67"/>
      <c r="M73" s="34"/>
      <c r="N73" s="29"/>
      <c r="O73" s="35"/>
      <c r="P73" s="33"/>
      <c r="Q73" s="35"/>
      <c r="R73" s="34"/>
      <c r="S73" s="34"/>
      <c r="T73" s="34"/>
    </row>
    <row r="74" spans="1:20">
      <c r="A74" s="31" t="s">
        <v>126</v>
      </c>
      <c r="B74" s="36"/>
      <c r="C74" s="36"/>
      <c r="D74" s="36"/>
      <c r="E74" s="36" t="s">
        <v>127</v>
      </c>
      <c r="F74" s="54">
        <f>(PHID+PHIN)/2</f>
        <v>0.10500000000000001</v>
      </c>
      <c r="G74" s="47"/>
      <c r="H74" s="54">
        <f>(H50+H49)/2</f>
        <v>0.17499999999999999</v>
      </c>
      <c r="I74" s="46"/>
      <c r="J74" s="54">
        <f>(J50+J49)/2</f>
        <v>0.115</v>
      </c>
      <c r="K74" s="46"/>
      <c r="L74" s="54" t="e">
        <f>(L50+L49)/2</f>
        <v>#N/A</v>
      </c>
      <c r="M74" s="25"/>
      <c r="N74" s="29"/>
      <c r="O74" s="35"/>
      <c r="P74" s="33"/>
      <c r="Q74" s="35"/>
      <c r="R74" s="34"/>
      <c r="S74" s="34"/>
      <c r="T74" s="34"/>
    </row>
    <row r="75" spans="1:20">
      <c r="A75" s="31" t="s">
        <v>128</v>
      </c>
      <c r="B75" s="36"/>
      <c r="C75" s="36"/>
      <c r="D75" s="36"/>
      <c r="E75" s="36" t="s">
        <v>129</v>
      </c>
      <c r="F75" s="54">
        <f>(PHIT^M)*RESD/A</f>
        <v>0.50725378326733517</v>
      </c>
      <c r="G75" s="47"/>
      <c r="H75" s="54">
        <f>(H74^M)*H48/A</f>
        <v>1.1409362265562089</v>
      </c>
      <c r="I75" s="46"/>
      <c r="J75" s="54">
        <f>(J74^M)*J48/A</f>
        <v>0.46262587762375773</v>
      </c>
      <c r="K75" s="46"/>
      <c r="L75" s="54" t="e">
        <f>(L74^M)*L48/A</f>
        <v>#N/A</v>
      </c>
      <c r="M75" s="25"/>
      <c r="N75" s="29"/>
      <c r="O75" s="35"/>
      <c r="P75" s="33"/>
      <c r="Q75" s="35"/>
      <c r="R75" s="34"/>
      <c r="S75" s="34"/>
      <c r="T75" s="34"/>
    </row>
    <row r="76" spans="1:20">
      <c r="A76" s="31" t="s">
        <v>130</v>
      </c>
      <c r="B76" s="36"/>
      <c r="C76" s="36"/>
      <c r="D76" s="36"/>
      <c r="E76" s="36" t="s">
        <v>131</v>
      </c>
      <c r="F76" s="54">
        <f>(RW/RWA)^(1/N)</f>
        <v>0.22093577012398599</v>
      </c>
      <c r="G76" s="47"/>
      <c r="H76" s="54">
        <f>(RW/H75)^(1/N)</f>
        <v>0.14731534851120984</v>
      </c>
      <c r="I76" s="46"/>
      <c r="J76" s="54">
        <f>(RW/J75)^(1/N)</f>
        <v>0.23134691974665253</v>
      </c>
      <c r="K76" s="46"/>
      <c r="L76" s="54" t="e">
        <f>(RW/L75)^(1/N)</f>
        <v>#N/A</v>
      </c>
      <c r="M76" s="25"/>
      <c r="N76" s="29"/>
      <c r="O76" s="35"/>
      <c r="P76" s="33"/>
      <c r="Q76" s="35"/>
      <c r="R76" s="34"/>
      <c r="S76" s="34"/>
      <c r="T76" s="34"/>
    </row>
    <row r="77" spans="1:20">
      <c r="A77" s="31"/>
      <c r="B77" s="36"/>
      <c r="C77" s="36"/>
      <c r="D77" s="36"/>
      <c r="E77" s="36"/>
      <c r="F77" s="40"/>
      <c r="G77" s="68"/>
      <c r="H77" s="40"/>
      <c r="I77" s="67"/>
      <c r="J77" s="40"/>
      <c r="K77" s="67"/>
      <c r="L77" s="40"/>
      <c r="M77" s="34"/>
      <c r="N77" s="29"/>
      <c r="O77" s="35"/>
      <c r="P77" s="33"/>
      <c r="Q77" s="35"/>
      <c r="R77" s="34"/>
      <c r="S77" s="34"/>
      <c r="T77" s="34"/>
    </row>
    <row r="78" spans="1:20">
      <c r="A78" s="31" t="s">
        <v>132</v>
      </c>
      <c r="B78" s="36"/>
      <c r="C78" s="36"/>
      <c r="D78" s="36"/>
      <c r="E78" s="36"/>
      <c r="F78" s="70"/>
      <c r="G78" s="68"/>
      <c r="H78" s="70"/>
      <c r="I78" s="67"/>
      <c r="J78" s="70"/>
      <c r="K78" s="67"/>
      <c r="L78" s="70"/>
      <c r="M78" s="34"/>
      <c r="N78" s="29"/>
      <c r="O78" s="35"/>
      <c r="P78" s="33"/>
      <c r="Q78" s="35"/>
      <c r="R78" s="34"/>
      <c r="S78" s="34"/>
      <c r="T78" s="34"/>
    </row>
    <row r="79" spans="1:20">
      <c r="A79" s="31" t="s">
        <v>133</v>
      </c>
      <c r="B79" s="36"/>
      <c r="C79" s="36"/>
      <c r="D79" s="36"/>
      <c r="E79" s="36"/>
      <c r="F79" s="54">
        <f>(1-VSH)*A*RW/(PHIE^M)</f>
        <v>1.9986863812961828</v>
      </c>
      <c r="G79" s="47"/>
      <c r="H79" s="54">
        <f>(1-H63)*A*RW/(H71^M)</f>
        <v>0.65105435720937643</v>
      </c>
      <c r="I79" s="46"/>
      <c r="J79" s="54">
        <f>(1-J63)*A*RW/(J71^M)</f>
        <v>1.6056419182879225</v>
      </c>
      <c r="K79" s="46"/>
      <c r="L79" s="54" t="e">
        <f>(1-L63)*A*RW/(L71^M)</f>
        <v>#N/A</v>
      </c>
      <c r="M79" s="25"/>
      <c r="N79" s="29"/>
      <c r="O79" s="35"/>
      <c r="P79" s="33"/>
      <c r="Q79" s="35"/>
      <c r="R79" s="34"/>
      <c r="S79" s="34"/>
      <c r="T79" s="34"/>
    </row>
    <row r="80" spans="1:20">
      <c r="A80" s="31" t="s">
        <v>134</v>
      </c>
      <c r="B80" s="36"/>
      <c r="C80" s="36"/>
      <c r="D80" s="36"/>
      <c r="E80" s="36" t="s">
        <v>135</v>
      </c>
      <c r="F80" s="54">
        <f>_C*VSH/(2*RSH)</f>
        <v>4.3449703941221361E-3</v>
      </c>
      <c r="G80" s="47"/>
      <c r="H80" s="54">
        <f>H79*H63/(2*RSH)</f>
        <v>0</v>
      </c>
      <c r="I80" s="46"/>
      <c r="J80" s="54">
        <f>J79*J63/(2*RSH)</f>
        <v>0</v>
      </c>
      <c r="K80" s="46"/>
      <c r="L80" s="54" t="e">
        <f>L79*L63/(2*RSH)</f>
        <v>#N/A</v>
      </c>
      <c r="M80" s="25"/>
      <c r="N80" s="29"/>
      <c r="O80" s="35"/>
      <c r="P80" s="33"/>
      <c r="Q80" s="35"/>
      <c r="R80" s="34"/>
      <c r="S80" s="34"/>
      <c r="T80" s="34"/>
    </row>
    <row r="81" spans="1:20">
      <c r="A81" s="31" t="s">
        <v>136</v>
      </c>
      <c r="B81" s="36"/>
      <c r="C81" s="36"/>
      <c r="D81" s="36"/>
      <c r="E81" s="36" t="s">
        <v>137</v>
      </c>
      <c r="F81" s="54">
        <f>_C/RESD</f>
        <v>4.9967159532404569E-2</v>
      </c>
      <c r="G81" s="47"/>
      <c r="H81" s="54">
        <f>H79/H48</f>
        <v>2.1701811906979215E-2</v>
      </c>
      <c r="I81" s="46"/>
      <c r="J81" s="54">
        <f>J79/J48</f>
        <v>5.3521397276264079E-2</v>
      </c>
      <c r="K81" s="46"/>
      <c r="L81" s="54" t="e">
        <f>L79/L48</f>
        <v>#N/A</v>
      </c>
      <c r="M81" s="25"/>
      <c r="N81" s="29"/>
      <c r="O81" s="35"/>
      <c r="P81" s="33"/>
      <c r="Q81" s="35"/>
      <c r="R81" s="34"/>
      <c r="S81" s="34"/>
      <c r="T81" s="34"/>
    </row>
    <row r="82" spans="1:20">
      <c r="A82" s="31" t="s">
        <v>138</v>
      </c>
      <c r="B82" s="36"/>
      <c r="C82" s="36"/>
      <c r="D82" s="36"/>
      <c r="E82" s="36" t="s">
        <v>139</v>
      </c>
      <c r="F82" s="54">
        <f>((D^2+E)^0.5-D)^(2/N)</f>
        <v>0.21923060586618939</v>
      </c>
      <c r="G82" s="47"/>
      <c r="H82" s="54">
        <f>((H80^2+H81)^0.5-H80)^(2/N)</f>
        <v>0.14731534851120984</v>
      </c>
      <c r="I82" s="46"/>
      <c r="J82" s="54">
        <f>((J80^2+J81)^0.5-J80)^(2/N)</f>
        <v>0.2313469197466525</v>
      </c>
      <c r="K82" s="46"/>
      <c r="L82" s="54" t="e">
        <f>((L80^2+L81)^0.5-L80)^(2/N)</f>
        <v>#N/A</v>
      </c>
      <c r="M82" s="25"/>
      <c r="N82" s="29"/>
      <c r="O82" s="35"/>
      <c r="P82" s="33"/>
      <c r="Q82" s="35"/>
      <c r="R82" s="34"/>
      <c r="S82" s="34"/>
      <c r="T82" s="34"/>
    </row>
    <row r="83" spans="1:20">
      <c r="A83" s="31" t="s">
        <v>140</v>
      </c>
      <c r="B83" s="36"/>
      <c r="C83" s="36"/>
      <c r="D83" s="36"/>
      <c r="E83" s="36" t="s">
        <v>141</v>
      </c>
      <c r="F83" s="54">
        <f>SWS</f>
        <v>0.21923060586618939</v>
      </c>
      <c r="G83" s="47"/>
      <c r="H83" s="54">
        <f>H82</f>
        <v>0.14731534851120984</v>
      </c>
      <c r="I83" s="46"/>
      <c r="J83" s="54">
        <f>J82</f>
        <v>0.2313469197466525</v>
      </c>
      <c r="K83" s="46"/>
      <c r="L83" s="54" t="e">
        <f>L82</f>
        <v>#N/A</v>
      </c>
      <c r="M83" s="25"/>
      <c r="N83" s="29"/>
      <c r="O83" s="35"/>
      <c r="P83" s="33"/>
      <c r="Q83" s="35"/>
      <c r="R83" s="34"/>
      <c r="S83" s="34"/>
      <c r="T83" s="34"/>
    </row>
    <row r="84" spans="1:20">
      <c r="A84" s="31"/>
      <c r="B84" s="36"/>
      <c r="C84" s="36"/>
      <c r="D84" s="36"/>
      <c r="E84" s="36"/>
      <c r="F84" s="20"/>
      <c r="G84" s="34"/>
      <c r="H84" s="20"/>
      <c r="I84" s="33"/>
      <c r="J84" s="18"/>
      <c r="K84" s="33"/>
      <c r="L84" s="18"/>
      <c r="M84" s="34"/>
      <c r="N84" s="29"/>
      <c r="O84" s="35"/>
      <c r="P84" s="33"/>
      <c r="Q84" s="35"/>
      <c r="R84" s="34"/>
      <c r="S84" s="34"/>
      <c r="T84" s="34"/>
    </row>
    <row r="85" spans="1:20">
      <c r="A85" s="31" t="s">
        <v>142</v>
      </c>
      <c r="B85" s="36"/>
      <c r="C85" s="36"/>
      <c r="D85" s="36"/>
      <c r="E85" s="36"/>
      <c r="F85" s="36"/>
      <c r="G85" s="34"/>
      <c r="H85" s="36"/>
      <c r="I85" s="33"/>
      <c r="J85" s="33"/>
      <c r="K85" s="33"/>
      <c r="L85" s="33"/>
      <c r="M85" s="34"/>
      <c r="N85" s="29"/>
      <c r="O85" s="35"/>
      <c r="P85" s="33"/>
      <c r="Q85" s="35"/>
      <c r="R85" s="34"/>
      <c r="S85" s="34"/>
      <c r="T85" s="34"/>
    </row>
    <row r="86" spans="1:20">
      <c r="A86" s="31" t="s">
        <v>143</v>
      </c>
      <c r="B86" s="36"/>
      <c r="C86" s="36"/>
      <c r="D86" s="36"/>
      <c r="E86" s="36"/>
      <c r="F86" s="34" t="s">
        <v>144</v>
      </c>
      <c r="G86" s="34"/>
      <c r="H86" s="55">
        <f>H71*H83</f>
        <v>2.5780185989461721E-2</v>
      </c>
      <c r="I86" s="24" t="s">
        <v>145</v>
      </c>
      <c r="J86" s="33"/>
      <c r="K86" s="33"/>
      <c r="L86" s="33"/>
      <c r="M86" s="34"/>
      <c r="N86" s="29"/>
      <c r="O86" s="35"/>
      <c r="P86" s="33"/>
      <c r="Q86" s="35"/>
      <c r="R86" s="34"/>
      <c r="S86" s="34"/>
      <c r="T86" s="34"/>
    </row>
    <row r="87" spans="1:20">
      <c r="A87" s="31" t="s">
        <v>146</v>
      </c>
      <c r="B87" s="36"/>
      <c r="C87" s="36"/>
      <c r="D87" s="36"/>
      <c r="E87" s="36" t="s">
        <v>147</v>
      </c>
      <c r="F87" s="54">
        <f>MIN(SW,KBUCKL/PHIE)</f>
        <v>0.21923060586618939</v>
      </c>
      <c r="G87" s="47"/>
      <c r="H87" s="54">
        <f>MIN(H83,KBUCKL/H71)</f>
        <v>0.14731534851120984</v>
      </c>
      <c r="I87" s="46"/>
      <c r="J87" s="54">
        <f>MIN(J83,KBUCKL/J71)</f>
        <v>0.22417553034314538</v>
      </c>
      <c r="K87" s="46"/>
      <c r="L87" s="54" t="e">
        <f>MIN(L83,KBUCKL/L71)</f>
        <v>#N/A</v>
      </c>
      <c r="M87" s="25"/>
      <c r="N87" s="29"/>
      <c r="O87" s="35"/>
      <c r="P87" s="33"/>
      <c r="Q87" s="35"/>
      <c r="R87" s="34"/>
      <c r="S87" s="34"/>
      <c r="T87" s="34"/>
    </row>
    <row r="88" spans="1:20">
      <c r="A88" s="31"/>
      <c r="B88" s="36"/>
      <c r="C88" s="36"/>
      <c r="D88" s="36"/>
      <c r="E88" s="36"/>
      <c r="F88" s="19"/>
      <c r="G88" s="34"/>
      <c r="H88" s="20"/>
      <c r="I88" s="33"/>
      <c r="J88" s="18"/>
      <c r="K88" s="33"/>
      <c r="L88" s="18"/>
      <c r="M88" s="34"/>
      <c r="N88" s="29"/>
      <c r="O88" s="35"/>
      <c r="P88" s="33"/>
      <c r="Q88" s="35"/>
      <c r="R88" s="34"/>
      <c r="S88" s="34"/>
      <c r="T88" s="34"/>
    </row>
    <row r="89" spans="1:20">
      <c r="A89" s="31" t="s">
        <v>148</v>
      </c>
      <c r="B89" s="36"/>
      <c r="C89" s="36"/>
      <c r="D89" s="36" t="s">
        <v>149</v>
      </c>
      <c r="E89" s="36"/>
      <c r="F89" s="66">
        <v>100000</v>
      </c>
      <c r="G89" s="31"/>
      <c r="H89" s="34" t="s">
        <v>150</v>
      </c>
      <c r="I89" s="63">
        <v>6</v>
      </c>
      <c r="J89" s="4"/>
      <c r="K89" s="34" t="s">
        <v>151</v>
      </c>
      <c r="L89" s="63">
        <v>2</v>
      </c>
      <c r="M89" s="29"/>
      <c r="N89" s="29"/>
      <c r="O89" s="35"/>
      <c r="P89" s="33"/>
      <c r="Q89" s="35"/>
      <c r="R89" s="34"/>
      <c r="S89" s="34"/>
      <c r="T89" s="34"/>
    </row>
    <row r="90" spans="1:20">
      <c r="A90" s="31" t="s">
        <v>152</v>
      </c>
      <c r="B90" s="36"/>
      <c r="C90" s="36"/>
      <c r="D90" s="36"/>
      <c r="E90" s="36"/>
      <c r="F90" s="22"/>
      <c r="G90" s="34"/>
      <c r="H90" s="36"/>
      <c r="I90" s="21"/>
      <c r="J90" s="33"/>
      <c r="K90" s="33"/>
      <c r="L90" s="21"/>
      <c r="M90" s="34"/>
      <c r="N90" s="29"/>
      <c r="O90" s="35"/>
      <c r="P90" s="33"/>
      <c r="Q90" s="35"/>
      <c r="R90" s="34"/>
      <c r="S90" s="34"/>
      <c r="T90" s="34"/>
    </row>
    <row r="91" spans="1:20">
      <c r="A91" s="31"/>
      <c r="B91" s="36"/>
      <c r="C91" s="36"/>
      <c r="D91" s="36"/>
      <c r="E91" s="36" t="s">
        <v>153</v>
      </c>
      <c r="F91" s="52">
        <f>CPERM*(PHIE^DPERM)/(SWIR^EPERM)</f>
        <v>2.3074152584435934</v>
      </c>
      <c r="G91" s="47"/>
      <c r="H91" s="52">
        <f>CPERM*(H71^DPERM)/(H87^EPERM)</f>
        <v>132.35254509503798</v>
      </c>
      <c r="I91" s="46"/>
      <c r="J91" s="52">
        <f>CPERM*(J71^DPERM)/(J87^EPERM)</f>
        <v>4.6026783959674349</v>
      </c>
      <c r="K91" s="46"/>
      <c r="L91" s="52" t="e">
        <f>CPERM*(L71^DPERM)/(L87^EPERM)</f>
        <v>#N/A</v>
      </c>
      <c r="M91" s="25" t="s">
        <v>154</v>
      </c>
      <c r="N91" s="29"/>
      <c r="O91" s="35"/>
      <c r="P91" s="33"/>
      <c r="Q91" s="35"/>
      <c r="R91" s="34"/>
      <c r="S91" s="34"/>
      <c r="T91" s="34"/>
    </row>
    <row r="92" spans="1:20">
      <c r="A92" s="31"/>
      <c r="B92" s="36"/>
      <c r="C92" s="36"/>
      <c r="D92" s="36"/>
      <c r="E92" s="36"/>
      <c r="F92" s="18"/>
      <c r="G92" s="34"/>
      <c r="H92" s="20"/>
      <c r="I92" s="33"/>
      <c r="J92" s="18"/>
      <c r="K92" s="33"/>
      <c r="L92" s="18"/>
      <c r="M92" s="34"/>
      <c r="N92" s="29"/>
      <c r="O92" s="35"/>
      <c r="P92" s="33"/>
      <c r="Q92" s="35"/>
      <c r="R92" s="34"/>
      <c r="S92" s="34"/>
      <c r="T92" s="34"/>
    </row>
    <row r="93" spans="1:20">
      <c r="A93" s="31" t="s">
        <v>155</v>
      </c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4"/>
      <c r="N93" s="29"/>
      <c r="O93" s="35"/>
      <c r="P93" s="33"/>
      <c r="Q93" s="35"/>
      <c r="R93" s="34"/>
      <c r="S93" s="34"/>
      <c r="T93" s="34"/>
    </row>
    <row r="94" spans="1:20">
      <c r="A94" s="31" t="s">
        <v>156</v>
      </c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4"/>
      <c r="N94" s="29"/>
      <c r="O94" s="35"/>
      <c r="P94" s="33"/>
      <c r="Q94" s="35"/>
      <c r="R94" s="34"/>
      <c r="S94" s="34"/>
      <c r="T94" s="34"/>
    </row>
    <row r="95" spans="1:20">
      <c r="A95" s="31" t="s">
        <v>157</v>
      </c>
      <c r="B95" s="36"/>
      <c r="C95" s="36"/>
      <c r="D95" s="36"/>
      <c r="E95" s="36"/>
      <c r="F95" s="52">
        <f>BASE-TOP</f>
        <v>1.5</v>
      </c>
      <c r="G95" s="47"/>
      <c r="H95" s="52">
        <f>H47-H46</f>
        <v>2</v>
      </c>
      <c r="I95" s="47"/>
      <c r="J95" s="52">
        <f>J47-J46</f>
        <v>2</v>
      </c>
      <c r="K95" s="47"/>
      <c r="L95" s="52" t="e">
        <f>L47-L46</f>
        <v>#N/A</v>
      </c>
      <c r="M95" s="25" t="s">
        <v>158</v>
      </c>
      <c r="N95" s="29"/>
      <c r="O95" s="35"/>
      <c r="P95" s="33"/>
      <c r="Q95" s="35"/>
      <c r="R95" s="34"/>
      <c r="S95" s="34"/>
      <c r="T95" s="34"/>
    </row>
    <row r="96" spans="1:20">
      <c r="A96" s="31" t="s">
        <v>159</v>
      </c>
      <c r="B96" s="36"/>
      <c r="C96" s="36"/>
      <c r="D96" s="36"/>
      <c r="E96" s="36"/>
      <c r="F96" s="53">
        <f>PHIE*THICK</f>
        <v>0.15260869565217391</v>
      </c>
      <c r="G96" s="47"/>
      <c r="H96" s="53">
        <f>H71*H95</f>
        <v>0.35</v>
      </c>
      <c r="I96" s="46"/>
      <c r="J96" s="53">
        <f>J71*J95</f>
        <v>0.23</v>
      </c>
      <c r="K96" s="46"/>
      <c r="L96" s="53" t="e">
        <f>L71*L95</f>
        <v>#N/A</v>
      </c>
      <c r="M96" s="25" t="s">
        <v>160</v>
      </c>
      <c r="N96" s="29"/>
      <c r="O96" s="35"/>
      <c r="P96" s="33"/>
      <c r="Q96" s="35"/>
      <c r="R96" s="34"/>
      <c r="S96" s="34"/>
      <c r="T96" s="34"/>
    </row>
    <row r="97" spans="1:20">
      <c r="A97" s="31" t="s">
        <v>161</v>
      </c>
      <c r="B97" s="36"/>
      <c r="C97" s="36"/>
      <c r="D97" s="36"/>
      <c r="E97" s="36"/>
      <c r="F97" s="53">
        <f>PHIE*(1-SW)*THICK</f>
        <v>0.11915219884389894</v>
      </c>
      <c r="G97" s="47"/>
      <c r="H97" s="53">
        <f>H71*(1-H83)*H95</f>
        <v>0.29843962802107654</v>
      </c>
      <c r="I97" s="46"/>
      <c r="J97" s="53">
        <f>J71*(1-J83)*J95</f>
        <v>0.17679020845826995</v>
      </c>
      <c r="K97" s="46"/>
      <c r="L97" s="53" t="e">
        <f>L71*(1-L83)*L95</f>
        <v>#N/A</v>
      </c>
      <c r="M97" s="25" t="s">
        <v>158</v>
      </c>
      <c r="N97" s="29"/>
      <c r="O97" s="35"/>
      <c r="P97" s="33"/>
      <c r="Q97" s="35"/>
      <c r="R97" s="34"/>
      <c r="S97" s="34"/>
      <c r="T97" s="34"/>
    </row>
    <row r="98" spans="1:20">
      <c r="A98" s="31" t="s">
        <v>162</v>
      </c>
      <c r="B98" s="36"/>
      <c r="C98" s="36"/>
      <c r="D98" s="36"/>
      <c r="E98" s="36"/>
      <c r="F98" s="52">
        <f>PERM*THICK</f>
        <v>3.4611228876653901</v>
      </c>
      <c r="G98" s="47"/>
      <c r="H98" s="52">
        <f>H91*H95</f>
        <v>264.70509019007596</v>
      </c>
      <c r="I98" s="46"/>
      <c r="J98" s="52">
        <f>J91*J95</f>
        <v>9.2053567919348698</v>
      </c>
      <c r="K98" s="50"/>
      <c r="L98" s="52" t="e">
        <f>L91*L95</f>
        <v>#N/A</v>
      </c>
      <c r="M98" s="25" t="s">
        <v>158</v>
      </c>
      <c r="N98" s="31"/>
      <c r="O98" s="36"/>
      <c r="P98" s="36"/>
      <c r="Q98" s="36"/>
      <c r="R98" s="36"/>
      <c r="S98" s="36"/>
      <c r="T98" s="36"/>
    </row>
    <row r="99" spans="1:20">
      <c r="A99" s="31" t="s">
        <v>163</v>
      </c>
      <c r="B99" s="36"/>
      <c r="C99" s="36"/>
      <c r="D99" s="36"/>
      <c r="E99" s="36"/>
      <c r="F99" s="52">
        <f>THICK</f>
        <v>1.5</v>
      </c>
      <c r="G99" s="47"/>
      <c r="H99" s="52">
        <f>H95</f>
        <v>2</v>
      </c>
      <c r="I99" s="47"/>
      <c r="J99" s="52">
        <f>J95</f>
        <v>2</v>
      </c>
      <c r="K99" s="47"/>
      <c r="L99" s="52" t="e">
        <f>L95</f>
        <v>#N/A</v>
      </c>
      <c r="M99" s="25" t="s">
        <v>158</v>
      </c>
      <c r="N99" s="31"/>
      <c r="O99" s="36"/>
      <c r="P99" s="36"/>
      <c r="Q99" s="36"/>
      <c r="R99" s="36"/>
      <c r="S99" s="36"/>
      <c r="T99" s="36"/>
    </row>
    <row r="100" spans="1:20">
      <c r="A100" s="31"/>
      <c r="B100" s="36"/>
      <c r="C100" s="36"/>
      <c r="D100" s="36"/>
      <c r="E100" s="36"/>
      <c r="F100" s="19"/>
      <c r="G100" s="34"/>
      <c r="H100" s="20"/>
      <c r="I100" s="33"/>
      <c r="J100" s="20"/>
      <c r="K100" s="36"/>
      <c r="L100" s="20"/>
      <c r="M100" s="36"/>
      <c r="N100" s="31"/>
      <c r="O100" s="36"/>
      <c r="P100" s="36"/>
      <c r="Q100" s="36"/>
      <c r="R100" s="36"/>
      <c r="S100" s="36"/>
      <c r="T100" s="36"/>
    </row>
    <row r="101" spans="1:20" ht="18">
      <c r="A101" s="13" t="s">
        <v>164</v>
      </c>
      <c r="B101" s="17"/>
      <c r="C101" s="17"/>
      <c r="D101" s="17"/>
      <c r="E101" s="17"/>
      <c r="F101" s="17"/>
      <c r="G101" s="16"/>
      <c r="H101" s="16"/>
      <c r="I101" s="17"/>
      <c r="J101" s="15"/>
      <c r="K101" s="15"/>
      <c r="L101" s="15"/>
      <c r="M101" s="16"/>
      <c r="N101" s="31"/>
      <c r="O101" s="36"/>
      <c r="P101" s="36"/>
      <c r="Q101" s="36"/>
      <c r="R101" s="36"/>
      <c r="S101" s="36"/>
      <c r="T101" s="36"/>
    </row>
    <row r="102" spans="1:20" ht="18">
      <c r="A102" s="13" t="s">
        <v>165</v>
      </c>
      <c r="B102" s="17"/>
      <c r="C102" s="17"/>
      <c r="D102" s="17"/>
      <c r="E102" s="17" t="s">
        <v>76</v>
      </c>
      <c r="F102" s="17"/>
      <c r="G102" s="17" t="s">
        <v>77</v>
      </c>
      <c r="H102" s="17"/>
      <c r="I102" s="17" t="s">
        <v>78</v>
      </c>
      <c r="J102" s="17"/>
      <c r="K102" s="17" t="s">
        <v>79</v>
      </c>
      <c r="L102" s="17"/>
      <c r="M102" s="17"/>
      <c r="N102" s="31"/>
      <c r="O102" s="36"/>
      <c r="P102" s="36"/>
      <c r="Q102" s="36"/>
      <c r="R102" s="36"/>
      <c r="S102" s="36"/>
      <c r="T102" s="36"/>
    </row>
    <row r="103" spans="1:20">
      <c r="A103" s="31"/>
      <c r="B103" s="36"/>
      <c r="C103" s="36"/>
      <c r="D103" s="36"/>
      <c r="E103" s="36"/>
      <c r="F103" s="34"/>
      <c r="G103" s="34"/>
      <c r="H103" s="36"/>
      <c r="I103" s="33"/>
      <c r="J103" s="36"/>
      <c r="K103" s="36"/>
      <c r="L103" s="36"/>
      <c r="M103" s="36"/>
      <c r="N103" s="31"/>
      <c r="O103" s="36"/>
      <c r="P103" s="36"/>
      <c r="Q103" s="36"/>
      <c r="R103" s="36"/>
      <c r="S103" s="36"/>
      <c r="T103" s="36"/>
    </row>
    <row r="104" spans="1:20">
      <c r="A104" s="31" t="s">
        <v>166</v>
      </c>
      <c r="B104" s="36"/>
      <c r="C104" s="36"/>
      <c r="D104" s="36" t="s">
        <v>167</v>
      </c>
      <c r="E104" s="66">
        <v>1.25</v>
      </c>
      <c r="F104" s="29" t="s">
        <v>168</v>
      </c>
      <c r="G104" s="64">
        <v>0.4</v>
      </c>
      <c r="H104" s="31" t="s">
        <v>169</v>
      </c>
      <c r="I104" s="62">
        <v>640000</v>
      </c>
      <c r="J104" s="28" t="s">
        <v>170</v>
      </c>
      <c r="K104" s="74">
        <v>1</v>
      </c>
      <c r="L104" s="31"/>
      <c r="M104" s="36"/>
      <c r="N104" s="31"/>
      <c r="O104" s="36"/>
      <c r="P104" s="36"/>
      <c r="Q104" s="36"/>
      <c r="R104" s="36"/>
      <c r="S104" s="36"/>
      <c r="T104" s="36"/>
    </row>
    <row r="105" spans="1:20">
      <c r="A105" s="31" t="s">
        <v>171</v>
      </c>
      <c r="B105" s="36"/>
      <c r="C105" s="36"/>
      <c r="D105" s="36"/>
      <c r="E105" s="45"/>
      <c r="F105" s="34"/>
      <c r="G105" s="44"/>
      <c r="H105" s="36"/>
      <c r="I105" s="42" t="s">
        <v>172</v>
      </c>
      <c r="J105" s="33"/>
      <c r="K105" s="43"/>
      <c r="L105" s="36"/>
      <c r="M105" s="36"/>
      <c r="N105" s="31"/>
      <c r="O105" s="36"/>
      <c r="P105" s="36"/>
      <c r="Q105" s="36"/>
      <c r="R105" s="36"/>
      <c r="S105" s="36"/>
      <c r="T105" s="36"/>
    </row>
    <row r="106" spans="1:20">
      <c r="A106" s="31" t="s">
        <v>173</v>
      </c>
      <c r="B106" s="36"/>
      <c r="C106" s="36"/>
      <c r="D106" s="36"/>
      <c r="E106" s="36"/>
      <c r="F106" s="51">
        <f>RF*KV_3*HPV*AREA/BO</f>
        <v>24402.370323230505</v>
      </c>
      <c r="G106" s="46"/>
      <c r="H106" s="51">
        <f>RF*KV_3*H97*AREA/BO</f>
        <v>61120.435818716476</v>
      </c>
      <c r="I106" s="46"/>
      <c r="J106" s="51">
        <f>RF*KV_3*J97*AREA/BO</f>
        <v>36206.634692253683</v>
      </c>
      <c r="K106" s="46"/>
      <c r="L106" s="51" t="e">
        <f>RF*KV_3*L97*AREA/BO</f>
        <v>#N/A</v>
      </c>
      <c r="M106" s="27" t="s">
        <v>174</v>
      </c>
      <c r="N106" s="31"/>
      <c r="O106" s="36"/>
      <c r="P106" s="36"/>
      <c r="Q106" s="36"/>
      <c r="R106" s="36"/>
      <c r="S106" s="36"/>
      <c r="T106" s="36"/>
    </row>
    <row r="107" spans="1:20">
      <c r="A107" s="31" t="s">
        <v>175</v>
      </c>
      <c r="B107" s="36"/>
      <c r="C107" s="36"/>
      <c r="D107" s="36"/>
      <c r="E107" s="36"/>
      <c r="F107" s="51">
        <f>6.29*ROIL</f>
        <v>153490.90933311987</v>
      </c>
      <c r="G107" s="46"/>
      <c r="H107" s="51">
        <f>6.29*H106</f>
        <v>384447.54129972664</v>
      </c>
      <c r="I107" s="46"/>
      <c r="J107" s="51">
        <f>6.29*J106</f>
        <v>227739.73221427566</v>
      </c>
      <c r="K107" s="46"/>
      <c r="L107" s="51" t="e">
        <f>6.29*L106</f>
        <v>#N/A</v>
      </c>
      <c r="M107" s="27" t="s">
        <v>176</v>
      </c>
      <c r="N107" s="31"/>
      <c r="O107" s="36"/>
      <c r="P107" s="36"/>
      <c r="Q107" s="36"/>
      <c r="R107" s="36"/>
      <c r="S107" s="36"/>
      <c r="T107" s="36"/>
    </row>
    <row r="108" spans="1:20">
      <c r="A108" s="31"/>
      <c r="B108" s="36"/>
      <c r="C108" s="36"/>
      <c r="D108" s="36"/>
      <c r="E108" s="36"/>
      <c r="F108" s="19"/>
      <c r="G108" s="34"/>
      <c r="H108" s="20"/>
      <c r="I108" s="33"/>
      <c r="J108" s="20"/>
      <c r="K108" s="36"/>
      <c r="L108" s="20"/>
      <c r="M108" s="36"/>
      <c r="N108" s="31"/>
      <c r="O108" s="36"/>
      <c r="P108" s="36"/>
      <c r="Q108" s="36"/>
      <c r="R108" s="36"/>
      <c r="S108" s="36"/>
      <c r="T108" s="36"/>
    </row>
    <row r="109" spans="1:20">
      <c r="A109" s="31" t="s">
        <v>177</v>
      </c>
      <c r="B109" s="36"/>
      <c r="C109" s="36"/>
      <c r="D109" s="36" t="s">
        <v>178</v>
      </c>
      <c r="E109" s="66">
        <v>20000</v>
      </c>
      <c r="F109" s="31" t="s">
        <v>179</v>
      </c>
      <c r="G109" s="36" t="s">
        <v>180</v>
      </c>
      <c r="H109" s="64">
        <v>2</v>
      </c>
      <c r="I109" s="31" t="s">
        <v>181</v>
      </c>
      <c r="J109" s="36" t="s">
        <v>182</v>
      </c>
      <c r="K109" s="82">
        <v>7.5600000000000001E-2</v>
      </c>
      <c r="L109" s="72" t="s">
        <v>183</v>
      </c>
      <c r="M109" s="31"/>
      <c r="N109" s="31"/>
      <c r="O109" s="36"/>
      <c r="P109" s="36"/>
      <c r="Q109" s="36"/>
      <c r="R109" s="36"/>
      <c r="S109" s="36"/>
      <c r="T109" s="36"/>
    </row>
    <row r="110" spans="1:20">
      <c r="A110" s="31" t="s">
        <v>184</v>
      </c>
      <c r="B110" s="36"/>
      <c r="C110" s="36"/>
      <c r="D110" s="36"/>
      <c r="E110" s="23"/>
      <c r="F110" s="36"/>
      <c r="G110" s="36"/>
      <c r="H110" s="23"/>
      <c r="I110" s="36"/>
      <c r="J110" s="36"/>
      <c r="K110" s="45"/>
      <c r="L110" s="23"/>
      <c r="M110" s="36"/>
      <c r="N110" s="31"/>
      <c r="O110" s="36"/>
      <c r="P110" s="36"/>
      <c r="Q110" s="36"/>
      <c r="R110" s="36"/>
      <c r="S110" s="36"/>
      <c r="T110" s="36"/>
    </row>
    <row r="111" spans="1:20">
      <c r="A111" s="31" t="s">
        <v>185</v>
      </c>
      <c r="B111" s="36"/>
      <c r="C111" s="36"/>
      <c r="D111" s="36"/>
      <c r="E111" s="36"/>
      <c r="F111" s="52">
        <f>KV_1*KH*PF_PS/VISO/10000</f>
        <v>0.2616608903075035</v>
      </c>
      <c r="G111" s="47"/>
      <c r="H111" s="52">
        <f>KV_1*H98*PF_PS/VISO/10000</f>
        <v>20.011704818369743</v>
      </c>
      <c r="I111" s="47"/>
      <c r="J111" s="52">
        <f>KV_1*J98*PF_PS/VISO/10000</f>
        <v>0.69592497347027615</v>
      </c>
      <c r="K111" s="47"/>
      <c r="L111" s="52" t="e">
        <f>KV_1*L98*PF_PS/VISO/10000</f>
        <v>#N/A</v>
      </c>
      <c r="M111" s="25" t="s">
        <v>186</v>
      </c>
      <c r="N111" s="29"/>
      <c r="O111" s="35"/>
      <c r="P111" s="33"/>
      <c r="Q111" s="35"/>
      <c r="R111" s="36"/>
      <c r="S111" s="36"/>
      <c r="T111" s="36"/>
    </row>
    <row r="112" spans="1:20">
      <c r="A112" s="31" t="s">
        <v>187</v>
      </c>
      <c r="B112" s="36"/>
      <c r="C112" s="36"/>
      <c r="D112" s="36"/>
      <c r="E112" s="36"/>
      <c r="F112" s="52">
        <f>6.29*QO</f>
        <v>1.6458470000341969</v>
      </c>
      <c r="G112" s="47"/>
      <c r="H112" s="52">
        <f>6.29*H111</f>
        <v>125.87362330754569</v>
      </c>
      <c r="I112" s="47"/>
      <c r="J112" s="52">
        <f>6.29*J111</f>
        <v>4.3773680831280366</v>
      </c>
      <c r="K112" s="47"/>
      <c r="L112" s="52" t="e">
        <f>6.29*L111</f>
        <v>#N/A</v>
      </c>
      <c r="M112" s="25" t="s">
        <v>188</v>
      </c>
      <c r="N112" s="29"/>
      <c r="O112" s="35"/>
      <c r="P112" s="33"/>
      <c r="Q112" s="35"/>
      <c r="R112" s="36"/>
      <c r="S112" s="36"/>
      <c r="T112" s="36"/>
    </row>
    <row r="113" spans="1:20">
      <c r="A113" s="4"/>
      <c r="B113" s="36"/>
      <c r="C113" s="36"/>
      <c r="D113" s="36"/>
      <c r="E113" s="36"/>
      <c r="F113" s="19"/>
      <c r="G113" s="34"/>
      <c r="H113" s="20"/>
      <c r="I113" s="33"/>
      <c r="J113" s="18"/>
      <c r="K113" s="33"/>
      <c r="L113" s="18"/>
      <c r="M113" s="34"/>
      <c r="N113" s="29"/>
      <c r="O113" s="35"/>
      <c r="P113" s="33"/>
      <c r="Q113" s="35"/>
      <c r="R113" s="36"/>
      <c r="S113" s="36"/>
      <c r="T113" s="36"/>
    </row>
    <row r="114" spans="1:20" ht="18">
      <c r="A114" s="13" t="s">
        <v>189</v>
      </c>
      <c r="B114" s="17"/>
      <c r="C114" s="17"/>
      <c r="D114" s="17"/>
      <c r="E114" s="17" t="s">
        <v>76</v>
      </c>
      <c r="F114" s="17"/>
      <c r="G114" s="17" t="s">
        <v>77</v>
      </c>
      <c r="H114" s="17"/>
      <c r="I114" s="17" t="s">
        <v>78</v>
      </c>
      <c r="J114" s="17"/>
      <c r="K114" s="17" t="s">
        <v>79</v>
      </c>
      <c r="L114" s="17"/>
      <c r="M114" s="17"/>
      <c r="N114" s="29"/>
      <c r="O114" s="35"/>
      <c r="P114" s="33"/>
      <c r="Q114" s="35"/>
      <c r="R114" s="36"/>
      <c r="S114" s="36"/>
      <c r="T114" s="36"/>
    </row>
    <row r="115" spans="1:20">
      <c r="A115" s="4"/>
      <c r="B115" s="36"/>
      <c r="C115" s="36"/>
      <c r="D115" s="36"/>
      <c r="E115" s="36"/>
      <c r="F115" s="34"/>
      <c r="G115" s="34"/>
      <c r="H115" s="36"/>
      <c r="I115" s="33"/>
      <c r="J115" s="33"/>
      <c r="K115" s="33"/>
      <c r="L115" s="33"/>
      <c r="M115" s="34"/>
      <c r="N115" s="29"/>
      <c r="O115" s="35"/>
      <c r="P115" s="33"/>
      <c r="Q115" s="35"/>
      <c r="R115" s="36"/>
      <c r="S115" s="36"/>
      <c r="T115" s="36"/>
    </row>
    <row r="116" spans="1:20">
      <c r="A116" s="31" t="s">
        <v>190</v>
      </c>
      <c r="B116" s="36"/>
      <c r="C116" s="36"/>
      <c r="D116" s="36" t="s">
        <v>191</v>
      </c>
      <c r="E116" s="66">
        <v>22000</v>
      </c>
      <c r="F116" s="29" t="s">
        <v>192</v>
      </c>
      <c r="G116" s="63">
        <v>100</v>
      </c>
      <c r="H116" s="31" t="s">
        <v>179</v>
      </c>
      <c r="I116" s="36" t="s">
        <v>193</v>
      </c>
      <c r="J116" s="66">
        <v>0.9</v>
      </c>
      <c r="K116" s="4"/>
      <c r="L116" s="5"/>
      <c r="M116" s="5"/>
      <c r="N116" s="29"/>
      <c r="O116" s="35"/>
      <c r="P116" s="33"/>
      <c r="Q116" s="35"/>
      <c r="R116" s="36"/>
      <c r="S116" s="36"/>
      <c r="T116" s="36"/>
    </row>
    <row r="117" spans="1:20">
      <c r="A117" s="31"/>
      <c r="B117" s="36"/>
      <c r="C117" s="36"/>
      <c r="D117" s="33" t="s">
        <v>194</v>
      </c>
      <c r="E117" s="62">
        <f>FT</f>
        <v>72.400000000000006</v>
      </c>
      <c r="F117" s="29" t="s">
        <v>195</v>
      </c>
      <c r="G117" s="63">
        <v>15</v>
      </c>
      <c r="H117" s="31" t="s">
        <v>57</v>
      </c>
      <c r="I117" s="33" t="s">
        <v>196</v>
      </c>
      <c r="J117" s="73">
        <v>273</v>
      </c>
      <c r="K117" s="29" t="s">
        <v>57</v>
      </c>
      <c r="L117" s="5"/>
      <c r="M117" s="34"/>
      <c r="N117" s="29"/>
      <c r="O117" s="35"/>
      <c r="P117" s="33"/>
      <c r="Q117" s="35"/>
      <c r="R117" s="36"/>
      <c r="S117" s="36"/>
      <c r="T117" s="36"/>
    </row>
    <row r="118" spans="1:20">
      <c r="A118" s="31"/>
      <c r="B118" s="36"/>
      <c r="C118" s="36"/>
      <c r="D118" s="34" t="s">
        <v>197</v>
      </c>
      <c r="E118" s="64">
        <v>0.94</v>
      </c>
      <c r="F118" s="31" t="s">
        <v>169</v>
      </c>
      <c r="G118" s="62">
        <v>640000</v>
      </c>
      <c r="H118" s="31" t="s">
        <v>198</v>
      </c>
      <c r="I118" s="33" t="s">
        <v>199</v>
      </c>
      <c r="J118" s="74">
        <v>1</v>
      </c>
      <c r="K118" s="31"/>
      <c r="L118" s="5"/>
      <c r="M118" s="34"/>
      <c r="N118" s="29"/>
      <c r="O118" s="35"/>
      <c r="P118" s="33"/>
      <c r="Q118" s="35"/>
      <c r="R118" s="36"/>
      <c r="S118" s="36"/>
      <c r="T118" s="36"/>
    </row>
    <row r="119" spans="1:20">
      <c r="A119" s="31" t="s">
        <v>200</v>
      </c>
      <c r="B119" s="36"/>
      <c r="C119" s="36"/>
      <c r="D119" s="36"/>
      <c r="E119" s="23"/>
      <c r="F119" s="34"/>
      <c r="G119" s="22"/>
      <c r="H119" s="36"/>
      <c r="I119" s="33"/>
      <c r="J119" s="21"/>
      <c r="K119" s="33"/>
      <c r="L119" s="33"/>
      <c r="M119" s="34"/>
      <c r="N119" s="29"/>
      <c r="O119" s="35"/>
      <c r="P119" s="33"/>
      <c r="Q119" s="35"/>
      <c r="R119" s="36"/>
      <c r="S119" s="36"/>
      <c r="T119" s="36"/>
    </row>
    <row r="120" spans="1:20">
      <c r="A120" s="31" t="s">
        <v>201</v>
      </c>
      <c r="B120" s="36"/>
      <c r="C120" s="36"/>
      <c r="D120" s="36"/>
      <c r="E120" s="36"/>
      <c r="F120" s="34"/>
      <c r="G120" s="36" t="s">
        <v>202</v>
      </c>
      <c r="H120" s="56">
        <f>(PS*(TF+KT_2))/(PF*(TS+KT_2))*ZF</f>
        <v>4.9062500000000009E-3</v>
      </c>
      <c r="I120" s="24"/>
      <c r="J120" s="33"/>
      <c r="K120" s="33"/>
      <c r="L120" s="33"/>
      <c r="M120" s="34"/>
      <c r="N120" s="29"/>
      <c r="O120" s="35"/>
      <c r="P120" s="33"/>
      <c r="Q120" s="35"/>
      <c r="R120" s="36"/>
      <c r="S120" s="36"/>
      <c r="T120" s="36"/>
    </row>
    <row r="121" spans="1:20">
      <c r="A121" s="31" t="s">
        <v>203</v>
      </c>
      <c r="B121" s="36"/>
      <c r="C121" s="36"/>
      <c r="D121" s="36"/>
      <c r="E121" s="36"/>
      <c r="F121" s="56">
        <f>RFG*KV_4*HPV*AREAG/BG/1000</f>
        <v>14610.336371870486</v>
      </c>
      <c r="G121" s="79"/>
      <c r="H121" s="56">
        <f>RFG*KV_4*H97*AREAG/BG/1000</f>
        <v>36594.401063435333</v>
      </c>
      <c r="I121" s="46"/>
      <c r="J121" s="56">
        <f>RFG*KV_4*J97*AREAG/BG/1000</f>
        <v>21677.857713833415</v>
      </c>
      <c r="K121" s="46"/>
      <c r="L121" s="56" t="e">
        <f>RFG*KV_4*L97*AREAG/BG/1000</f>
        <v>#N/A</v>
      </c>
      <c r="M121" s="25" t="s">
        <v>204</v>
      </c>
      <c r="N121" s="29"/>
      <c r="O121" s="35"/>
      <c r="P121" s="33"/>
      <c r="Q121" s="35"/>
      <c r="R121" s="36"/>
      <c r="S121" s="36"/>
      <c r="T121" s="36"/>
    </row>
    <row r="122" spans="1:20">
      <c r="A122" s="31" t="s">
        <v>205</v>
      </c>
      <c r="B122" s="36"/>
      <c r="C122" s="36"/>
      <c r="D122" s="36"/>
      <c r="E122" s="36"/>
      <c r="F122" s="61">
        <f>0.0353*RGAS</f>
        <v>515.74487392702815</v>
      </c>
      <c r="G122" s="58"/>
      <c r="H122" s="61">
        <f>0.0353*H121</f>
        <v>1291.7823575392672</v>
      </c>
      <c r="I122" s="57"/>
      <c r="J122" s="61">
        <f>0.0353*J121</f>
        <v>765.22837729831951</v>
      </c>
      <c r="K122" s="57"/>
      <c r="L122" s="61" t="e">
        <f>0.0353*L121</f>
        <v>#N/A</v>
      </c>
      <c r="M122" s="29" t="s">
        <v>206</v>
      </c>
      <c r="N122" s="29"/>
      <c r="O122" s="35"/>
      <c r="P122" s="33"/>
      <c r="Q122" s="35"/>
      <c r="R122" s="36"/>
      <c r="S122" s="36"/>
      <c r="T122" s="36"/>
    </row>
    <row r="123" spans="1:20">
      <c r="A123" s="31"/>
      <c r="B123" s="36"/>
      <c r="C123" s="36"/>
      <c r="D123" s="36"/>
      <c r="E123" s="36"/>
      <c r="F123" s="22"/>
      <c r="G123" s="34"/>
      <c r="H123" s="23"/>
      <c r="I123" s="33"/>
      <c r="J123" s="21"/>
      <c r="K123" s="33"/>
      <c r="L123" s="21"/>
      <c r="M123" s="34"/>
      <c r="N123" s="29"/>
      <c r="O123" s="35"/>
      <c r="P123" s="33"/>
      <c r="Q123" s="35"/>
      <c r="R123" s="36"/>
      <c r="S123" s="36"/>
      <c r="T123" s="36"/>
    </row>
    <row r="124" spans="1:20">
      <c r="A124" s="31" t="s">
        <v>207</v>
      </c>
      <c r="B124" s="36"/>
      <c r="C124" s="36"/>
      <c r="D124" s="36"/>
      <c r="E124" s="5"/>
      <c r="F124" s="5"/>
      <c r="G124" s="5"/>
      <c r="H124" s="36"/>
      <c r="I124" s="33" t="s">
        <v>208</v>
      </c>
      <c r="J124" s="83">
        <f>0.061*1.79</f>
        <v>0.10919</v>
      </c>
      <c r="K124" s="81" t="s">
        <v>209</v>
      </c>
      <c r="L124" s="4"/>
      <c r="M124" s="34"/>
      <c r="N124" s="29"/>
      <c r="O124" s="35"/>
      <c r="P124" s="33"/>
      <c r="Q124" s="35"/>
      <c r="R124" s="36"/>
      <c r="S124" s="36"/>
      <c r="T124" s="36"/>
    </row>
    <row r="125" spans="1:20">
      <c r="A125" s="31" t="s">
        <v>210</v>
      </c>
      <c r="B125" s="36"/>
      <c r="C125" s="36"/>
      <c r="D125" s="36"/>
      <c r="E125" s="36"/>
      <c r="F125" s="34"/>
      <c r="G125" s="34"/>
      <c r="H125" s="36"/>
      <c r="I125" s="33"/>
      <c r="J125" s="21"/>
      <c r="K125" s="21"/>
      <c r="L125" s="33"/>
      <c r="M125" s="34"/>
      <c r="N125" s="29"/>
      <c r="O125" s="35"/>
      <c r="P125" s="33"/>
      <c r="Q125" s="35"/>
      <c r="R125" s="36"/>
      <c r="S125" s="36"/>
      <c r="T125" s="36"/>
    </row>
    <row r="126" spans="1:20">
      <c r="A126" s="31" t="s">
        <v>211</v>
      </c>
      <c r="B126" s="36"/>
      <c r="C126" s="36"/>
      <c r="D126" s="36"/>
      <c r="E126" s="36"/>
      <c r="F126" s="54">
        <f>KV_2*KH*((PF-PS)^2)/(TF+KT_2)/1000000</f>
        <v>0.52476611200592826</v>
      </c>
      <c r="G126" s="49"/>
      <c r="H126" s="54">
        <f>KV_2*H98*((PF-PS)^2)/(TF+KT_2)/1000000</f>
        <v>40.133871438734644</v>
      </c>
      <c r="I126" s="49"/>
      <c r="J126" s="54">
        <f>KV_2*J98*((PF-PS)^2)/(TF+KT_2)/1000000</f>
        <v>1.3956913551224479</v>
      </c>
      <c r="K126" s="49"/>
      <c r="L126" s="54" t="e">
        <f>KV_2*L98*((PF-PS)^2)/(TF+KT_2)/1000000</f>
        <v>#N/A</v>
      </c>
      <c r="M126" s="25" t="s">
        <v>212</v>
      </c>
      <c r="N126" s="29"/>
      <c r="O126" s="35"/>
      <c r="P126" s="33"/>
      <c r="Q126" s="35"/>
      <c r="R126" s="36"/>
      <c r="S126" s="36"/>
      <c r="T126" s="36"/>
    </row>
    <row r="127" spans="1:20">
      <c r="A127" s="31" t="s">
        <v>213</v>
      </c>
      <c r="B127" s="36"/>
      <c r="C127" s="36"/>
      <c r="D127" s="36"/>
      <c r="E127" s="36"/>
      <c r="F127" s="54">
        <f>0.0353*QG</f>
        <v>1.8524243753809268E-2</v>
      </c>
      <c r="G127" s="49"/>
      <c r="H127" s="54">
        <f>0.0353*H126</f>
        <v>1.4167256617873329</v>
      </c>
      <c r="I127" s="49"/>
      <c r="J127" s="54">
        <f>0.0353*J126</f>
        <v>4.9267904835822406E-2</v>
      </c>
      <c r="K127" s="49"/>
      <c r="L127" s="54" t="e">
        <f>0.0353*L126</f>
        <v>#N/A</v>
      </c>
      <c r="M127" s="25" t="s">
        <v>214</v>
      </c>
      <c r="N127" s="29"/>
      <c r="O127" s="35"/>
      <c r="P127" s="33"/>
      <c r="Q127" s="35"/>
      <c r="R127" s="36"/>
      <c r="S127" s="36"/>
      <c r="T127" s="36"/>
    </row>
    <row r="128" spans="1:20">
      <c r="A128" s="31"/>
      <c r="B128" s="36"/>
      <c r="C128" s="36"/>
      <c r="D128" s="36"/>
      <c r="E128" s="36"/>
      <c r="F128" s="19"/>
      <c r="G128" s="34"/>
      <c r="H128" s="20"/>
      <c r="I128" s="33"/>
      <c r="J128" s="18"/>
      <c r="K128" s="33"/>
      <c r="L128" s="18"/>
      <c r="M128" s="34"/>
      <c r="N128" s="29"/>
      <c r="O128" s="35"/>
      <c r="P128" s="33"/>
      <c r="Q128" s="35"/>
      <c r="R128" s="36"/>
      <c r="S128" s="36"/>
      <c r="T128" s="36"/>
    </row>
    <row r="129" spans="1:20" ht="18">
      <c r="A129" s="13" t="s">
        <v>215</v>
      </c>
      <c r="B129" s="17"/>
      <c r="C129" s="17"/>
      <c r="D129" s="17"/>
      <c r="E129" s="17" t="s">
        <v>76</v>
      </c>
      <c r="F129" s="17"/>
      <c r="G129" s="17" t="s">
        <v>77</v>
      </c>
      <c r="H129" s="17"/>
      <c r="I129" s="17" t="s">
        <v>78</v>
      </c>
      <c r="J129" s="17"/>
      <c r="K129" s="17" t="s">
        <v>79</v>
      </c>
      <c r="L129" s="17"/>
      <c r="M129" s="17"/>
      <c r="N129" s="29"/>
      <c r="O129" s="35"/>
      <c r="P129" s="33"/>
      <c r="Q129" s="35"/>
      <c r="R129" s="36"/>
      <c r="S129" s="36"/>
      <c r="T129" s="36"/>
    </row>
    <row r="130" spans="1:20">
      <c r="A130" s="31"/>
      <c r="B130" s="36"/>
      <c r="C130" s="36"/>
      <c r="D130" s="36"/>
      <c r="E130" s="36"/>
      <c r="F130" s="34"/>
      <c r="G130" s="34"/>
      <c r="H130" s="36"/>
      <c r="I130" s="33"/>
      <c r="J130" s="33"/>
      <c r="K130" s="33"/>
      <c r="L130" s="33"/>
      <c r="M130" s="34"/>
      <c r="N130" s="29"/>
      <c r="O130" s="35"/>
      <c r="P130" s="33"/>
      <c r="Q130" s="35"/>
      <c r="R130" s="36"/>
      <c r="S130" s="36"/>
      <c r="T130" s="36"/>
    </row>
    <row r="131" spans="1:20">
      <c r="A131" s="31" t="s">
        <v>216</v>
      </c>
      <c r="B131" s="36"/>
      <c r="C131" s="36" t="s">
        <v>217</v>
      </c>
      <c r="D131" s="36"/>
      <c r="E131" s="66">
        <v>1000</v>
      </c>
      <c r="F131" s="31" t="s">
        <v>218</v>
      </c>
      <c r="G131" s="62">
        <v>2650</v>
      </c>
      <c r="H131" s="31" t="s">
        <v>219</v>
      </c>
      <c r="I131" s="62">
        <v>2650</v>
      </c>
      <c r="J131" s="28" t="s">
        <v>220</v>
      </c>
      <c r="K131" s="62">
        <v>1000</v>
      </c>
      <c r="L131" s="28" t="s">
        <v>221</v>
      </c>
      <c r="M131" s="68"/>
      <c r="N131" s="29"/>
      <c r="O131" s="35"/>
      <c r="P131" s="33"/>
      <c r="Q131" s="35"/>
      <c r="R131" s="36"/>
      <c r="S131" s="36"/>
      <c r="T131" s="36"/>
    </row>
    <row r="132" spans="1:20">
      <c r="A132" s="31" t="s">
        <v>222</v>
      </c>
      <c r="B132" s="36"/>
      <c r="C132" s="36"/>
      <c r="D132" s="36"/>
      <c r="E132" s="23"/>
      <c r="F132" s="34"/>
      <c r="G132" s="22"/>
      <c r="H132" s="36"/>
      <c r="I132" s="21"/>
      <c r="J132" s="33"/>
      <c r="K132" s="21"/>
      <c r="L132" s="33"/>
      <c r="M132" s="34"/>
      <c r="N132" s="29"/>
      <c r="O132" s="35"/>
      <c r="P132" s="33"/>
      <c r="Q132" s="35"/>
      <c r="R132" s="36"/>
      <c r="S132" s="36"/>
      <c r="T132" s="36"/>
    </row>
    <row r="133" spans="1:20">
      <c r="A133" s="31" t="s">
        <v>223</v>
      </c>
      <c r="B133" s="36"/>
      <c r="C133" s="36"/>
      <c r="D133" s="36"/>
      <c r="E133" s="36"/>
      <c r="F133" s="54">
        <f>PHIE*(1-SW)*DENSHY/1000</f>
        <v>7.9434799229265954E-2</v>
      </c>
      <c r="G133" s="47"/>
      <c r="H133" s="54">
        <f>H71*(1-H83)*DENSHY/1000</f>
        <v>0.14921981401053827</v>
      </c>
      <c r="I133" s="46"/>
      <c r="J133" s="54">
        <f>J71*(1-J83)*DENSHY/1000</f>
        <v>8.8395104229134977E-2</v>
      </c>
      <c r="K133" s="46"/>
      <c r="L133" s="54" t="e">
        <f>L71*(1-L83)*DENSHY/1000</f>
        <v>#N/A</v>
      </c>
      <c r="M133" s="25" t="s">
        <v>224</v>
      </c>
      <c r="N133" s="29"/>
      <c r="O133" s="35"/>
      <c r="P133" s="33"/>
      <c r="Q133" s="35"/>
      <c r="R133" s="36"/>
      <c r="S133" s="36"/>
      <c r="T133" s="36"/>
    </row>
    <row r="134" spans="1:20">
      <c r="A134" s="31" t="s">
        <v>225</v>
      </c>
      <c r="B134" s="36"/>
      <c r="C134" s="36"/>
      <c r="D134" s="36"/>
      <c r="E134" s="36"/>
      <c r="F134" s="54">
        <f>VSH*DENSSH/1000</f>
        <v>0.11521739130434783</v>
      </c>
      <c r="G134" s="47"/>
      <c r="H134" s="54">
        <f>H63*DENSSH/1000</f>
        <v>0</v>
      </c>
      <c r="I134" s="46"/>
      <c r="J134" s="54">
        <f>J63*DENSSH/1000</f>
        <v>0</v>
      </c>
      <c r="K134" s="46"/>
      <c r="L134" s="54" t="e">
        <f>L63*DENSSH/1000</f>
        <v>#N/A</v>
      </c>
      <c r="M134" s="25" t="s">
        <v>224</v>
      </c>
      <c r="N134" s="29"/>
      <c r="O134" s="35"/>
      <c r="P134" s="33"/>
      <c r="Q134" s="35"/>
      <c r="R134" s="36"/>
      <c r="S134" s="36"/>
      <c r="T134" s="36"/>
    </row>
    <row r="135" spans="1:20">
      <c r="A135" s="31" t="s">
        <v>226</v>
      </c>
      <c r="B135" s="36"/>
      <c r="C135" s="36"/>
      <c r="D135" s="36"/>
      <c r="E135" s="36"/>
      <c r="F135" s="54">
        <f>(1-VSH-PHIE)*DENSMA/1000</f>
        <v>2.2651739130434785</v>
      </c>
      <c r="G135" s="47"/>
      <c r="H135" s="54">
        <f>(1-H63-H71)*DENSMA/1000</f>
        <v>2.1862499999999998</v>
      </c>
      <c r="I135" s="46"/>
      <c r="J135" s="54">
        <f>(1-J63-J71)*DENSMA/1000</f>
        <v>2.3452500000000001</v>
      </c>
      <c r="K135" s="46"/>
      <c r="L135" s="54" t="e">
        <f>(1-L63-L71)*DENSMA/1000</f>
        <v>#N/A</v>
      </c>
      <c r="M135" s="25" t="s">
        <v>224</v>
      </c>
      <c r="N135" s="29"/>
      <c r="O135" s="35"/>
      <c r="P135" s="33"/>
      <c r="Q135" s="35"/>
      <c r="R135" s="36"/>
      <c r="S135" s="36"/>
      <c r="T135" s="36"/>
    </row>
    <row r="136" spans="1:20">
      <c r="A136" s="31" t="s">
        <v>227</v>
      </c>
      <c r="B136" s="36"/>
      <c r="C136" s="36"/>
      <c r="D136" s="36"/>
      <c r="E136" s="36"/>
      <c r="F136" s="54">
        <f>PHIE*SW*DENSW/1000</f>
        <v>2.2304331205516659E-2</v>
      </c>
      <c r="G136" s="47"/>
      <c r="H136" s="54">
        <f>H71*H83*DENSW/1000</f>
        <v>2.5780185989461721E-2</v>
      </c>
      <c r="I136" s="46"/>
      <c r="J136" s="54">
        <f>J71*J83*DENSW/1000</f>
        <v>2.6604895770865038E-2</v>
      </c>
      <c r="K136" s="46"/>
      <c r="L136" s="54" t="e">
        <f>L71*L83*DENSW/1000</f>
        <v>#N/A</v>
      </c>
      <c r="M136" s="25" t="s">
        <v>224</v>
      </c>
      <c r="N136" s="29"/>
      <c r="O136" s="35"/>
      <c r="P136" s="33"/>
      <c r="Q136" s="35"/>
      <c r="R136" s="36"/>
      <c r="S136" s="36"/>
      <c r="T136" s="36"/>
    </row>
    <row r="137" spans="1:20">
      <c r="A137" s="31" t="s">
        <v>228</v>
      </c>
      <c r="B137" s="36"/>
      <c r="C137" s="36"/>
      <c r="D137" s="36"/>
      <c r="E137" s="36"/>
      <c r="F137" s="54">
        <f>WTTAR+WTSH+WTSND+WTWTR</f>
        <v>2.4821304347826088</v>
      </c>
      <c r="G137" s="47"/>
      <c r="H137" s="54">
        <f>H133+H134+H135+H136</f>
        <v>2.3612499999999996</v>
      </c>
      <c r="I137" s="46"/>
      <c r="J137" s="54">
        <f>J133+J134+J135+J136</f>
        <v>2.4602499999999998</v>
      </c>
      <c r="K137" s="46"/>
      <c r="L137" s="54" t="e">
        <f>L133+L134+L135+L136</f>
        <v>#N/A</v>
      </c>
      <c r="M137" s="25" t="s">
        <v>224</v>
      </c>
      <c r="N137" s="29"/>
      <c r="O137" s="35"/>
      <c r="P137" s="33"/>
      <c r="Q137" s="35"/>
      <c r="R137" s="36"/>
      <c r="S137" s="36"/>
      <c r="T137" s="36"/>
    </row>
    <row r="138" spans="1:20">
      <c r="A138" s="31" t="s">
        <v>229</v>
      </c>
      <c r="B138" s="36"/>
      <c r="C138" s="36"/>
      <c r="D138" s="36"/>
      <c r="E138" s="36"/>
      <c r="F138" s="54">
        <f>WTTAR/WTROCK</f>
        <v>3.2002669205505735E-2</v>
      </c>
      <c r="G138" s="47"/>
      <c r="H138" s="54">
        <f>H133/H137</f>
        <v>6.3195262683128972E-2</v>
      </c>
      <c r="I138" s="46"/>
      <c r="J138" s="54">
        <f>J133/J137</f>
        <v>3.5929317845395783E-2</v>
      </c>
      <c r="K138" s="46"/>
      <c r="L138" s="54" t="e">
        <f>L133/L137</f>
        <v>#N/A</v>
      </c>
      <c r="M138" s="25" t="s">
        <v>224</v>
      </c>
      <c r="N138" s="29"/>
      <c r="O138" s="35"/>
      <c r="P138" s="33"/>
      <c r="Q138" s="35"/>
      <c r="R138" s="36"/>
      <c r="S138" s="36"/>
      <c r="T138" s="36"/>
    </row>
    <row r="139" spans="1:20">
      <c r="A139" s="31" t="s">
        <v>230</v>
      </c>
      <c r="B139" s="36"/>
      <c r="C139" s="36"/>
      <c r="D139" s="36"/>
      <c r="E139" s="36"/>
      <c r="F139" s="53">
        <f>100*WTTAR/WTROCK</f>
        <v>3.2002669205505736</v>
      </c>
      <c r="G139" s="47"/>
      <c r="H139" s="53">
        <f>100*H133/H137</f>
        <v>6.3195262683128979</v>
      </c>
      <c r="I139" s="46"/>
      <c r="J139" s="53">
        <f>100*J133/J137</f>
        <v>3.5929317845395783</v>
      </c>
      <c r="K139" s="46"/>
      <c r="L139" s="53" t="e">
        <f>100*L133/L137</f>
        <v>#N/A</v>
      </c>
      <c r="M139" s="25" t="s">
        <v>231</v>
      </c>
      <c r="N139" s="29"/>
      <c r="O139" s="35"/>
      <c r="P139" s="33"/>
      <c r="Q139" s="35"/>
      <c r="R139" s="36"/>
      <c r="S139" s="36"/>
      <c r="T139" s="36"/>
    </row>
    <row r="140" spans="1:20">
      <c r="A140" s="31"/>
      <c r="B140" s="36"/>
      <c r="C140" s="36"/>
      <c r="D140" s="36"/>
      <c r="E140" s="36"/>
      <c r="F140" s="39"/>
      <c r="G140" s="68"/>
      <c r="H140" s="39"/>
      <c r="I140" s="67"/>
      <c r="J140" s="39"/>
      <c r="K140" s="67"/>
      <c r="L140" s="39"/>
      <c r="M140" s="34"/>
      <c r="N140" s="29"/>
      <c r="O140" s="35"/>
      <c r="P140" s="33"/>
      <c r="Q140" s="35"/>
      <c r="R140" s="36"/>
      <c r="S140" s="36"/>
      <c r="T140" s="36"/>
    </row>
    <row r="141" spans="1:20">
      <c r="A141" s="31" t="s">
        <v>232</v>
      </c>
      <c r="B141" s="36"/>
      <c r="C141" s="36"/>
      <c r="D141" s="36"/>
      <c r="E141" s="36"/>
      <c r="F141" s="56">
        <f>WTTAR*THICK*AREA</f>
        <v>76257.407260095322</v>
      </c>
      <c r="G141" s="47"/>
      <c r="H141" s="56">
        <f>H133*H95*AREA</f>
        <v>191001.36193348898</v>
      </c>
      <c r="I141" s="46"/>
      <c r="J141" s="56">
        <f>J133*J95*AREA</f>
        <v>113145.73341329276</v>
      </c>
      <c r="K141" s="46"/>
      <c r="L141" s="56" t="e">
        <f>L133*L95*AREA</f>
        <v>#N/A</v>
      </c>
      <c r="M141" s="25" t="s">
        <v>233</v>
      </c>
      <c r="N141" s="29"/>
      <c r="O141" s="35"/>
      <c r="P141" s="33"/>
      <c r="Q141" s="35"/>
      <c r="R141" s="36"/>
      <c r="S141" s="36"/>
      <c r="T141" s="36"/>
    </row>
    <row r="142" spans="1:20">
      <c r="A142" s="31"/>
      <c r="B142" s="36"/>
      <c r="C142" s="36"/>
      <c r="D142" s="36"/>
      <c r="E142" s="36"/>
      <c r="F142" s="19"/>
      <c r="G142" s="34"/>
      <c r="H142" s="20"/>
      <c r="I142" s="33"/>
      <c r="J142" s="18"/>
      <c r="K142" s="33"/>
      <c r="L142" s="18"/>
      <c r="M142" s="34"/>
      <c r="N142" s="29"/>
      <c r="O142" s="35"/>
      <c r="P142" s="33"/>
      <c r="Q142" s="35"/>
      <c r="R142" s="36"/>
      <c r="S142" s="36"/>
      <c r="T142" s="36"/>
    </row>
    <row r="143" spans="1:20" ht="18">
      <c r="A143" s="14"/>
      <c r="B143" s="12"/>
      <c r="C143" s="12"/>
      <c r="D143" s="12"/>
      <c r="E143" s="12"/>
      <c r="F143" s="12"/>
      <c r="G143" s="11"/>
      <c r="H143" s="11"/>
      <c r="I143" s="12"/>
      <c r="J143" s="10"/>
      <c r="K143" s="10"/>
      <c r="L143" s="10"/>
      <c r="M143" s="11"/>
      <c r="N143" s="31"/>
      <c r="O143" s="36"/>
      <c r="P143" s="36"/>
      <c r="Q143" s="36"/>
      <c r="R143" s="36"/>
      <c r="S143" s="36"/>
      <c r="T143" s="36"/>
    </row>
    <row r="144" spans="1:20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36"/>
      <c r="O144" s="36"/>
      <c r="P144" s="36"/>
      <c r="Q144" s="36"/>
      <c r="R144" s="36"/>
      <c r="S144" s="36"/>
      <c r="T144" s="36"/>
    </row>
    <row r="145" spans="1:20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</row>
    <row r="146" spans="1:20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</row>
    <row r="147" spans="1:20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</row>
    <row r="148" spans="1:20">
      <c r="A148" s="36"/>
      <c r="B148" s="36"/>
      <c r="C148" s="36"/>
      <c r="D148" s="36"/>
      <c r="E148" s="36"/>
      <c r="F148" s="34"/>
      <c r="G148" s="34"/>
      <c r="H148" s="36"/>
      <c r="I148" s="33"/>
      <c r="J148" s="33"/>
      <c r="K148" s="33"/>
      <c r="L148" s="33"/>
      <c r="M148" s="34"/>
      <c r="N148" s="34"/>
      <c r="O148" s="35"/>
      <c r="P148" s="33"/>
      <c r="Q148" s="35"/>
      <c r="R148" s="36"/>
      <c r="S148" s="36"/>
      <c r="T148" s="36"/>
    </row>
    <row r="149" spans="1:20">
      <c r="A149" s="36"/>
      <c r="B149" s="36"/>
      <c r="C149" s="36"/>
      <c r="D149" s="36"/>
      <c r="E149" s="36"/>
      <c r="F149" s="34"/>
      <c r="G149" s="34"/>
      <c r="H149" s="36"/>
      <c r="I149" s="33"/>
      <c r="J149" s="33"/>
      <c r="K149" s="33"/>
      <c r="L149" s="33"/>
      <c r="M149" s="34"/>
      <c r="N149" s="34"/>
      <c r="O149" s="35"/>
      <c r="P149" s="33"/>
      <c r="Q149" s="35"/>
      <c r="R149" s="36"/>
      <c r="S149" s="36"/>
      <c r="T149" s="36"/>
    </row>
    <row r="150" spans="1:20">
      <c r="A150" s="36"/>
      <c r="B150" s="36"/>
      <c r="C150" s="36"/>
      <c r="D150" s="36"/>
      <c r="E150" s="36"/>
      <c r="F150" s="34"/>
      <c r="G150" s="34"/>
      <c r="H150" s="36"/>
      <c r="I150" s="33"/>
      <c r="J150" s="33"/>
      <c r="K150" s="33"/>
      <c r="L150" s="33"/>
      <c r="M150" s="34"/>
      <c r="N150" s="34"/>
      <c r="O150" s="35"/>
      <c r="P150" s="33"/>
      <c r="Q150" s="35"/>
      <c r="R150" s="36"/>
      <c r="S150" s="36"/>
      <c r="T150" s="36"/>
    </row>
    <row r="151" spans="1:20">
      <c r="A151" s="36"/>
      <c r="B151" s="36"/>
      <c r="C151" s="36"/>
      <c r="D151" s="36"/>
      <c r="E151" s="36"/>
      <c r="F151" s="34"/>
      <c r="G151" s="34"/>
      <c r="H151" s="36"/>
      <c r="I151" s="33"/>
      <c r="J151" s="33"/>
      <c r="K151" s="33"/>
      <c r="L151" s="33"/>
      <c r="M151" s="34"/>
      <c r="N151" s="34"/>
      <c r="O151" s="35"/>
      <c r="P151" s="33"/>
      <c r="Q151" s="35"/>
      <c r="R151" s="36"/>
      <c r="S151" s="36"/>
      <c r="T151" s="36"/>
    </row>
    <row r="152" spans="1:20">
      <c r="A152" s="36"/>
      <c r="B152" s="36"/>
      <c r="C152" s="36"/>
      <c r="D152" s="36"/>
      <c r="E152" s="36"/>
      <c r="F152" s="34"/>
      <c r="G152" s="34"/>
      <c r="H152" s="36"/>
      <c r="I152" s="33"/>
      <c r="J152" s="33"/>
      <c r="K152" s="33"/>
      <c r="L152" s="33"/>
      <c r="M152" s="34"/>
      <c r="N152" s="34"/>
      <c r="O152" s="35"/>
      <c r="P152" s="33"/>
      <c r="Q152" s="35"/>
      <c r="R152" s="36"/>
      <c r="S152" s="36"/>
      <c r="T152" s="36"/>
    </row>
    <row r="153" spans="1:20">
      <c r="A153" s="36"/>
      <c r="B153" s="36"/>
      <c r="C153" s="36"/>
      <c r="D153" s="36"/>
      <c r="E153" s="36"/>
      <c r="F153" s="34"/>
      <c r="G153" s="34"/>
      <c r="H153" s="36"/>
      <c r="I153" s="33"/>
      <c r="J153" s="33"/>
      <c r="K153" s="33"/>
      <c r="L153" s="33"/>
      <c r="M153" s="34"/>
      <c r="N153" s="34"/>
      <c r="O153" s="35"/>
      <c r="P153" s="33"/>
      <c r="Q153" s="35"/>
      <c r="R153" s="36"/>
      <c r="S153" s="36"/>
      <c r="T153" s="36"/>
    </row>
    <row r="154" spans="1:20">
      <c r="A154" s="36"/>
      <c r="B154" s="36"/>
      <c r="C154" s="36"/>
      <c r="D154" s="36"/>
      <c r="E154" s="36"/>
      <c r="F154" s="34"/>
      <c r="G154" s="34"/>
      <c r="H154" s="36"/>
      <c r="I154" s="33"/>
      <c r="J154" s="33"/>
      <c r="K154" s="33"/>
      <c r="L154" s="33"/>
      <c r="M154" s="34"/>
      <c r="N154" s="34"/>
      <c r="O154" s="35"/>
      <c r="P154" s="33"/>
      <c r="Q154" s="35"/>
      <c r="R154" s="36"/>
      <c r="S154" s="36"/>
      <c r="T154" s="36"/>
    </row>
    <row r="155" spans="1:20">
      <c r="A155" s="36"/>
      <c r="B155" s="36"/>
      <c r="C155" s="36"/>
      <c r="D155" s="36"/>
      <c r="E155" s="36"/>
      <c r="F155" s="34"/>
      <c r="G155" s="34"/>
      <c r="H155" s="36"/>
      <c r="I155" s="33"/>
      <c r="J155" s="33"/>
      <c r="K155" s="33"/>
      <c r="L155" s="33"/>
      <c r="M155" s="34"/>
      <c r="N155" s="34"/>
      <c r="O155" s="35"/>
      <c r="P155" s="33"/>
      <c r="Q155" s="35"/>
      <c r="R155" s="36"/>
      <c r="S155" s="36"/>
      <c r="T155" s="36"/>
    </row>
    <row r="156" spans="1:20">
      <c r="A156" s="36"/>
      <c r="B156" s="36"/>
      <c r="C156" s="36"/>
      <c r="D156" s="36"/>
      <c r="E156" s="36"/>
      <c r="F156" s="34"/>
      <c r="G156" s="34"/>
      <c r="H156" s="36"/>
      <c r="I156" s="33"/>
      <c r="J156" s="33"/>
      <c r="K156" s="33"/>
      <c r="L156" s="33"/>
      <c r="M156" s="34"/>
      <c r="N156" s="34"/>
      <c r="O156" s="35"/>
      <c r="P156" s="33"/>
      <c r="Q156" s="35"/>
      <c r="R156" s="36"/>
      <c r="S156" s="36"/>
      <c r="T156" s="36"/>
    </row>
    <row r="157" spans="1:20">
      <c r="A157" s="36"/>
      <c r="B157" s="36"/>
      <c r="C157" s="36"/>
      <c r="D157" s="36"/>
      <c r="E157" s="36"/>
      <c r="F157" s="34"/>
      <c r="G157" s="34"/>
      <c r="H157" s="36"/>
      <c r="I157" s="33"/>
      <c r="J157" s="33"/>
      <c r="K157" s="33"/>
      <c r="L157" s="33"/>
      <c r="M157" s="34"/>
      <c r="N157" s="34"/>
      <c r="O157" s="35"/>
      <c r="P157" s="33"/>
      <c r="Q157" s="35"/>
      <c r="R157" s="36"/>
      <c r="S157" s="36"/>
      <c r="T157" s="36"/>
    </row>
    <row r="158" spans="1:20">
      <c r="A158" s="36"/>
      <c r="B158" s="36"/>
      <c r="C158" s="36"/>
      <c r="D158" s="36"/>
      <c r="E158" s="36"/>
      <c r="F158" s="34"/>
      <c r="G158" s="34"/>
      <c r="H158" s="36"/>
      <c r="I158" s="33"/>
      <c r="J158" s="33"/>
      <c r="K158" s="33"/>
      <c r="L158" s="33"/>
      <c r="M158" s="34"/>
      <c r="N158" s="34"/>
      <c r="O158" s="35"/>
      <c r="P158" s="33"/>
      <c r="Q158" s="35"/>
      <c r="R158" s="36"/>
      <c r="S158" s="36"/>
      <c r="T158" s="36"/>
    </row>
    <row r="159" spans="1:20">
      <c r="A159" s="36"/>
      <c r="B159" s="36"/>
      <c r="C159" s="36"/>
      <c r="D159" s="36"/>
      <c r="E159" s="36"/>
      <c r="F159" s="34"/>
      <c r="G159" s="34"/>
      <c r="H159" s="36"/>
      <c r="I159" s="33"/>
      <c r="J159" s="33"/>
      <c r="K159" s="33"/>
      <c r="L159" s="33"/>
      <c r="M159" s="34"/>
      <c r="N159" s="34"/>
      <c r="O159" s="35"/>
      <c r="P159" s="33"/>
      <c r="Q159" s="35"/>
      <c r="R159" s="36"/>
      <c r="S159" s="36"/>
      <c r="T159" s="36"/>
    </row>
    <row r="160" spans="1:20">
      <c r="A160" s="36"/>
      <c r="B160" s="36"/>
      <c r="C160" s="36"/>
      <c r="D160" s="36"/>
      <c r="E160" s="36"/>
      <c r="F160" s="34"/>
      <c r="G160" s="34"/>
      <c r="H160" s="36"/>
      <c r="I160" s="33"/>
      <c r="J160" s="33"/>
      <c r="K160" s="33"/>
      <c r="L160" s="33"/>
      <c r="M160" s="34"/>
      <c r="N160" s="34"/>
      <c r="O160" s="35"/>
      <c r="P160" s="33"/>
      <c r="Q160" s="35"/>
      <c r="R160" s="36"/>
      <c r="S160" s="36"/>
      <c r="T160" s="36"/>
    </row>
    <row r="161" spans="1:20">
      <c r="A161" s="36"/>
      <c r="B161" s="36"/>
      <c r="C161" s="36"/>
      <c r="D161" s="36"/>
      <c r="E161" s="36"/>
      <c r="F161" s="34"/>
      <c r="G161" s="34"/>
      <c r="H161" s="36"/>
      <c r="I161" s="33"/>
      <c r="J161" s="33"/>
      <c r="K161" s="33"/>
      <c r="L161" s="33"/>
      <c r="M161" s="34"/>
      <c r="N161" s="34"/>
      <c r="O161" s="35"/>
      <c r="P161" s="33"/>
      <c r="Q161" s="35"/>
      <c r="R161" s="36"/>
      <c r="S161" s="36"/>
      <c r="T161" s="36"/>
    </row>
    <row r="162" spans="1:20">
      <c r="A162" s="36"/>
      <c r="B162" s="36"/>
      <c r="C162" s="36"/>
      <c r="D162" s="36"/>
      <c r="E162" s="36"/>
      <c r="F162" s="34"/>
      <c r="G162" s="34"/>
      <c r="H162" s="36"/>
      <c r="I162" s="33"/>
      <c r="J162" s="33"/>
      <c r="K162" s="33"/>
      <c r="L162" s="33"/>
      <c r="M162" s="34"/>
      <c r="N162" s="34"/>
      <c r="O162" s="35"/>
      <c r="P162" s="33"/>
      <c r="Q162" s="35"/>
      <c r="R162" s="36"/>
      <c r="S162" s="36"/>
      <c r="T162" s="36"/>
    </row>
    <row r="163" spans="1:20">
      <c r="A163" s="36"/>
      <c r="B163" s="36"/>
      <c r="C163" s="36"/>
      <c r="D163" s="36"/>
      <c r="E163" s="36"/>
      <c r="F163" s="34"/>
      <c r="G163" s="34"/>
      <c r="H163" s="36"/>
      <c r="I163" s="33"/>
      <c r="J163" s="33"/>
      <c r="K163" s="33"/>
      <c r="L163" s="33"/>
      <c r="M163" s="34"/>
      <c r="N163" s="34"/>
      <c r="O163" s="35"/>
      <c r="P163" s="33"/>
      <c r="Q163" s="35"/>
      <c r="R163" s="36"/>
      <c r="S163" s="36"/>
      <c r="T163" s="36"/>
    </row>
    <row r="164" spans="1:20">
      <c r="A164" s="36"/>
      <c r="B164" s="36"/>
      <c r="C164" s="36"/>
      <c r="D164" s="36"/>
      <c r="E164" s="36"/>
      <c r="F164" s="34"/>
      <c r="G164" s="34"/>
      <c r="H164" s="36"/>
      <c r="I164" s="33"/>
      <c r="J164" s="33"/>
      <c r="K164" s="33"/>
      <c r="L164" s="33"/>
      <c r="M164" s="34"/>
      <c r="N164" s="34"/>
      <c r="O164" s="35"/>
      <c r="P164" s="33"/>
      <c r="Q164" s="35"/>
      <c r="R164" s="36"/>
      <c r="S164" s="36"/>
      <c r="T164" s="36"/>
    </row>
    <row r="165" spans="1:20">
      <c r="A165" s="36"/>
      <c r="B165" s="36"/>
      <c r="C165" s="36"/>
      <c r="D165" s="36"/>
      <c r="E165" s="36"/>
      <c r="F165" s="34"/>
      <c r="G165" s="34"/>
      <c r="H165" s="36"/>
      <c r="I165" s="33"/>
      <c r="J165" s="33"/>
      <c r="K165" s="33"/>
      <c r="L165" s="33"/>
      <c r="M165" s="34"/>
      <c r="N165" s="34"/>
      <c r="O165" s="35"/>
      <c r="P165" s="33"/>
      <c r="Q165" s="35"/>
      <c r="R165" s="36"/>
      <c r="S165" s="36"/>
      <c r="T165" s="36"/>
    </row>
    <row r="166" spans="1:20">
      <c r="A166" s="36"/>
      <c r="B166" s="36"/>
      <c r="C166" s="36"/>
      <c r="D166" s="36"/>
      <c r="E166" s="36"/>
      <c r="F166" s="34"/>
      <c r="G166" s="34"/>
      <c r="H166" s="36"/>
      <c r="I166" s="33"/>
      <c r="J166" s="33"/>
      <c r="K166" s="33"/>
      <c r="L166" s="33"/>
      <c r="M166" s="34"/>
      <c r="N166" s="34"/>
      <c r="O166" s="35"/>
      <c r="P166" s="33"/>
      <c r="Q166" s="35"/>
      <c r="R166" s="36"/>
      <c r="S166" s="36"/>
      <c r="T166" s="36"/>
    </row>
    <row r="167" spans="1:20">
      <c r="A167" s="36"/>
      <c r="B167" s="36"/>
      <c r="C167" s="36"/>
      <c r="D167" s="36"/>
      <c r="E167" s="36"/>
      <c r="F167" s="34"/>
      <c r="G167" s="34"/>
      <c r="H167" s="36"/>
      <c r="I167" s="33"/>
      <c r="J167" s="33"/>
      <c r="K167" s="33"/>
      <c r="L167" s="33"/>
      <c r="M167" s="34"/>
      <c r="N167" s="34"/>
      <c r="O167" s="35"/>
      <c r="P167" s="33"/>
      <c r="Q167" s="35"/>
      <c r="R167" s="36"/>
      <c r="S167" s="36"/>
      <c r="T167" s="36"/>
    </row>
    <row r="168" spans="1:20">
      <c r="A168" s="36"/>
      <c r="B168" s="36"/>
      <c r="C168" s="36"/>
      <c r="D168" s="36"/>
      <c r="E168" s="36"/>
      <c r="F168" s="34"/>
      <c r="G168" s="34"/>
      <c r="H168" s="36"/>
      <c r="I168" s="33"/>
      <c r="J168" s="33"/>
      <c r="K168" s="33"/>
      <c r="L168" s="33"/>
      <c r="M168" s="34"/>
      <c r="N168" s="34"/>
      <c r="O168" s="35"/>
      <c r="P168" s="33"/>
      <c r="Q168" s="35"/>
      <c r="R168" s="36"/>
      <c r="S168" s="36"/>
      <c r="T168" s="36"/>
    </row>
    <row r="169" spans="1:20">
      <c r="A169" s="36"/>
      <c r="B169" s="36"/>
      <c r="C169" s="36"/>
      <c r="D169" s="36"/>
      <c r="E169" s="36"/>
      <c r="F169" s="34"/>
      <c r="G169" s="34"/>
      <c r="H169" s="36"/>
      <c r="I169" s="33"/>
      <c r="J169" s="33"/>
      <c r="K169" s="33"/>
      <c r="L169" s="33"/>
      <c r="M169" s="34"/>
      <c r="N169" s="34"/>
      <c r="O169" s="35"/>
      <c r="P169" s="33"/>
      <c r="Q169" s="35"/>
      <c r="R169" s="36"/>
      <c r="S169" s="36"/>
      <c r="T169" s="36"/>
    </row>
    <row r="170" spans="1:20">
      <c r="A170" s="36"/>
      <c r="B170" s="36"/>
      <c r="C170" s="36"/>
      <c r="D170" s="36"/>
      <c r="E170" s="36"/>
      <c r="F170" s="34"/>
      <c r="G170" s="34"/>
      <c r="H170" s="36"/>
      <c r="I170" s="33"/>
      <c r="J170" s="33"/>
      <c r="K170" s="33"/>
      <c r="L170" s="33"/>
      <c r="M170" s="34"/>
      <c r="N170" s="34"/>
      <c r="O170" s="35"/>
      <c r="P170" s="33"/>
      <c r="Q170" s="35"/>
      <c r="R170" s="36"/>
      <c r="S170" s="36"/>
      <c r="T170" s="36"/>
    </row>
    <row r="171" spans="1:20">
      <c r="A171" s="36"/>
      <c r="B171" s="36"/>
      <c r="C171" s="36"/>
      <c r="D171" s="36"/>
      <c r="E171" s="36"/>
      <c r="F171" s="34"/>
      <c r="G171" s="34"/>
      <c r="H171" s="36"/>
      <c r="I171" s="33"/>
      <c r="J171" s="33"/>
      <c r="K171" s="33"/>
      <c r="L171" s="33"/>
      <c r="M171" s="34"/>
      <c r="N171" s="34"/>
      <c r="O171" s="35"/>
      <c r="P171" s="33"/>
      <c r="Q171" s="35"/>
      <c r="R171" s="36"/>
      <c r="S171" s="36"/>
      <c r="T171" s="36"/>
    </row>
    <row r="172" spans="1:20">
      <c r="A172" s="36"/>
      <c r="B172" s="36"/>
      <c r="C172" s="36"/>
      <c r="D172" s="36"/>
      <c r="E172" s="36"/>
      <c r="F172" s="34"/>
      <c r="G172" s="34"/>
      <c r="H172" s="36"/>
      <c r="I172" s="33"/>
      <c r="J172" s="33"/>
      <c r="K172" s="33"/>
      <c r="L172" s="33"/>
      <c r="M172" s="34"/>
      <c r="N172" s="34"/>
      <c r="O172" s="35"/>
      <c r="P172" s="33"/>
      <c r="Q172" s="35"/>
      <c r="R172" s="36"/>
      <c r="S172" s="36"/>
      <c r="T172" s="36"/>
    </row>
    <row r="173" spans="1:20">
      <c r="A173" s="36"/>
      <c r="B173" s="36"/>
      <c r="C173" s="36"/>
      <c r="D173" s="36"/>
      <c r="E173" s="36"/>
      <c r="F173" s="34"/>
      <c r="G173" s="34"/>
      <c r="H173" s="36"/>
      <c r="I173" s="33"/>
      <c r="J173" s="33"/>
      <c r="K173" s="33"/>
      <c r="L173" s="33"/>
      <c r="M173" s="34"/>
      <c r="N173" s="34"/>
      <c r="O173" s="35"/>
      <c r="P173" s="33"/>
      <c r="Q173" s="35"/>
      <c r="R173" s="36"/>
      <c r="S173" s="36"/>
      <c r="T173" s="36"/>
    </row>
    <row r="174" spans="1:20">
      <c r="A174" s="36"/>
      <c r="B174" s="36"/>
      <c r="C174" s="36"/>
      <c r="D174" s="36"/>
      <c r="E174" s="36"/>
      <c r="F174" s="34"/>
      <c r="G174" s="34"/>
      <c r="H174" s="36"/>
      <c r="I174" s="33"/>
      <c r="J174" s="33"/>
      <c r="K174" s="33"/>
      <c r="L174" s="33"/>
      <c r="M174" s="34"/>
      <c r="N174" s="34"/>
      <c r="O174" s="35"/>
      <c r="P174" s="33"/>
      <c r="Q174" s="35"/>
      <c r="R174" s="36"/>
      <c r="S174" s="36"/>
      <c r="T174" s="36"/>
    </row>
    <row r="175" spans="1:20">
      <c r="A175" s="36"/>
      <c r="B175" s="36"/>
      <c r="C175" s="36"/>
      <c r="D175" s="36"/>
      <c r="E175" s="36"/>
      <c r="F175" s="34"/>
      <c r="G175" s="34"/>
      <c r="H175" s="36"/>
      <c r="I175" s="33"/>
      <c r="J175" s="33"/>
      <c r="K175" s="33"/>
      <c r="L175" s="33"/>
      <c r="M175" s="34"/>
      <c r="N175" s="34"/>
      <c r="O175" s="35"/>
      <c r="P175" s="33"/>
      <c r="Q175" s="35"/>
      <c r="R175" s="36"/>
      <c r="S175" s="36"/>
      <c r="T175" s="36"/>
    </row>
    <row r="176" spans="1:20">
      <c r="A176" s="36"/>
      <c r="B176" s="36"/>
      <c r="C176" s="36"/>
      <c r="D176" s="36"/>
      <c r="E176" s="36"/>
      <c r="F176" s="34"/>
      <c r="G176" s="34"/>
      <c r="H176" s="36"/>
      <c r="I176" s="33"/>
      <c r="J176" s="33"/>
      <c r="K176" s="33"/>
      <c r="L176" s="33"/>
      <c r="M176" s="34"/>
      <c r="N176" s="34"/>
      <c r="O176" s="35"/>
      <c r="P176" s="33"/>
      <c r="Q176" s="35"/>
      <c r="R176" s="36"/>
      <c r="S176" s="36"/>
      <c r="T176" s="36"/>
    </row>
    <row r="177" spans="1:20">
      <c r="A177" s="36"/>
      <c r="B177" s="36"/>
      <c r="C177" s="36"/>
      <c r="D177" s="36"/>
      <c r="E177" s="36"/>
      <c r="F177" s="34"/>
      <c r="G177" s="34"/>
      <c r="H177" s="36"/>
      <c r="I177" s="33"/>
      <c r="J177" s="33"/>
      <c r="K177" s="33"/>
      <c r="L177" s="33"/>
      <c r="M177" s="34"/>
      <c r="N177" s="34"/>
      <c r="O177" s="35"/>
      <c r="P177" s="33"/>
      <c r="Q177" s="35"/>
      <c r="R177" s="5"/>
      <c r="S177" s="5"/>
      <c r="T177" s="5"/>
    </row>
    <row r="178" spans="1:20">
      <c r="A178" s="36"/>
      <c r="B178" s="36"/>
      <c r="C178" s="36"/>
      <c r="D178" s="36"/>
      <c r="E178" s="36"/>
      <c r="F178" s="34"/>
      <c r="G178" s="34"/>
      <c r="H178" s="36"/>
      <c r="I178" s="33"/>
      <c r="J178" s="33"/>
      <c r="K178" s="33"/>
      <c r="L178" s="33"/>
      <c r="M178" s="34"/>
      <c r="N178" s="34"/>
      <c r="O178" s="35"/>
      <c r="P178" s="33"/>
      <c r="Q178" s="35"/>
      <c r="R178" s="5"/>
      <c r="S178" s="5"/>
      <c r="T178" s="5"/>
    </row>
    <row r="179" spans="1:20">
      <c r="A179" s="36"/>
      <c r="B179" s="36"/>
      <c r="C179" s="36"/>
      <c r="D179" s="36"/>
      <c r="E179" s="36"/>
      <c r="F179" s="34"/>
      <c r="G179" s="34"/>
      <c r="H179" s="36"/>
      <c r="I179" s="33"/>
      <c r="J179" s="33"/>
      <c r="K179" s="33"/>
      <c r="L179" s="33"/>
      <c r="M179" s="34"/>
      <c r="N179" s="34"/>
      <c r="O179" s="35"/>
      <c r="P179" s="33"/>
      <c r="Q179" s="35"/>
      <c r="R179" s="5"/>
      <c r="S179" s="5"/>
      <c r="T179" s="5"/>
    </row>
    <row r="180" spans="1:20">
      <c r="A180" s="36"/>
      <c r="B180" s="36"/>
      <c r="C180" s="36"/>
      <c r="D180" s="36"/>
      <c r="E180" s="36"/>
      <c r="F180" s="34"/>
      <c r="G180" s="34"/>
      <c r="H180" s="36"/>
      <c r="I180" s="33"/>
      <c r="J180" s="33"/>
      <c r="K180" s="33"/>
      <c r="L180" s="33"/>
      <c r="M180" s="34"/>
      <c r="N180" s="34"/>
      <c r="O180" s="35"/>
      <c r="P180" s="33"/>
      <c r="Q180" s="35"/>
      <c r="R180" s="5"/>
      <c r="S180" s="5"/>
      <c r="T180" s="5"/>
    </row>
    <row r="181" spans="1:20">
      <c r="A181" s="36"/>
      <c r="B181" s="36"/>
      <c r="C181" s="36"/>
      <c r="D181" s="36"/>
      <c r="E181" s="36"/>
      <c r="F181" s="34"/>
      <c r="G181" s="34"/>
      <c r="H181" s="36"/>
      <c r="I181" s="33"/>
      <c r="J181" s="33"/>
      <c r="K181" s="33"/>
      <c r="L181" s="33"/>
      <c r="M181" s="34"/>
      <c r="N181" s="34"/>
      <c r="O181" s="35"/>
      <c r="P181" s="33"/>
      <c r="Q181" s="35"/>
      <c r="R181" s="5"/>
      <c r="S181" s="5"/>
      <c r="T181" s="5"/>
    </row>
  </sheetData>
  <mergeCells count="1">
    <mergeCell ref="K5:M5"/>
  </mergeCells>
  <phoneticPr fontId="0" type="noConversion"/>
  <hyperlinks>
    <hyperlink ref="K5" r:id="rId1"/>
  </hyperlinks>
  <pageMargins left="0.5" right="0.5" top="0.5" bottom="0.5" header="0.5" footer="0.5"/>
  <pageSetup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104</vt:i4>
      </vt:variant>
    </vt:vector>
  </HeadingPairs>
  <TitlesOfParts>
    <vt:vector size="105" baseType="lpstr">
      <vt:lpstr>4metakwikm</vt:lpstr>
      <vt:lpstr>_C</vt:lpstr>
      <vt:lpstr>A</vt:lpstr>
      <vt:lpstr>AREA</vt:lpstr>
      <vt:lpstr>AREAG</vt:lpstr>
      <vt:lpstr>BASE</vt:lpstr>
      <vt:lpstr>BG</vt:lpstr>
      <vt:lpstr>BHT</vt:lpstr>
      <vt:lpstr>BHTDEPTH</vt:lpstr>
      <vt:lpstr>BO</vt:lpstr>
      <vt:lpstr>CAL</vt:lpstr>
      <vt:lpstr>CPERM</vt:lpstr>
      <vt:lpstr>D</vt:lpstr>
      <vt:lpstr>DELT</vt:lpstr>
      <vt:lpstr>DELTMA</vt:lpstr>
      <vt:lpstr>DELTSH</vt:lpstr>
      <vt:lpstr>DELTW</vt:lpstr>
      <vt:lpstr>DENS</vt:lpstr>
      <vt:lpstr>DENSHY</vt:lpstr>
      <vt:lpstr>DENSMA</vt:lpstr>
      <vt:lpstr>DENSSH</vt:lpstr>
      <vt:lpstr>DENSW</vt:lpstr>
      <vt:lpstr>DEPTH</vt:lpstr>
      <vt:lpstr>DPERM</vt:lpstr>
      <vt:lpstr>E</vt:lpstr>
      <vt:lpstr>EPERM</vt:lpstr>
      <vt:lpstr>FT</vt:lpstr>
      <vt:lpstr>GR</vt:lpstr>
      <vt:lpstr>GR_0</vt:lpstr>
      <vt:lpstr>GR_100</vt:lpstr>
      <vt:lpstr>GRAD</vt:lpstr>
      <vt:lpstr>HPV</vt:lpstr>
      <vt:lpstr>KBUCKL</vt:lpstr>
      <vt:lpstr>KH</vt:lpstr>
      <vt:lpstr>KT_1</vt:lpstr>
      <vt:lpstr>KT_2</vt:lpstr>
      <vt:lpstr>KV_1</vt:lpstr>
      <vt:lpstr>KV_2</vt:lpstr>
      <vt:lpstr>KV_3</vt:lpstr>
      <vt:lpstr>KV_4</vt:lpstr>
      <vt:lpstr>KY_2</vt:lpstr>
      <vt:lpstr>M</vt:lpstr>
      <vt:lpstr>N</vt:lpstr>
      <vt:lpstr>NETPAY</vt:lpstr>
      <vt:lpstr>PE</vt:lpstr>
      <vt:lpstr>PERM</vt:lpstr>
      <vt:lpstr>PESH</vt:lpstr>
      <vt:lpstr>PF</vt:lpstr>
      <vt:lpstr>PF_PS</vt:lpstr>
      <vt:lpstr>PHID</vt:lpstr>
      <vt:lpstr>PHIDC</vt:lpstr>
      <vt:lpstr>PHIDSH</vt:lpstr>
      <vt:lpstr>PHIDWTR</vt:lpstr>
      <vt:lpstr>PHIE</vt:lpstr>
      <vt:lpstr>PHIN</vt:lpstr>
      <vt:lpstr>PHINC</vt:lpstr>
      <vt:lpstr>PHINS</vt:lpstr>
      <vt:lpstr>PHINSH</vt:lpstr>
      <vt:lpstr>PHINWTR</vt:lpstr>
      <vt:lpstr>PHIT</vt:lpstr>
      <vt:lpstr>PHIWTR</vt:lpstr>
      <vt:lpstr>PHIXDN</vt:lpstr>
      <vt:lpstr>PS</vt:lpstr>
      <vt:lpstr>PV</vt:lpstr>
      <vt:lpstr>QG</vt:lpstr>
      <vt:lpstr>QO</vt:lpstr>
      <vt:lpstr>RESD</vt:lpstr>
      <vt:lpstr>RF</vt:lpstr>
      <vt:lpstr>RFG</vt:lpstr>
      <vt:lpstr>RGAS</vt:lpstr>
      <vt:lpstr>RO</vt:lpstr>
      <vt:lpstr>ROIL</vt:lpstr>
      <vt:lpstr>RSH</vt:lpstr>
      <vt:lpstr>RTAR</vt:lpstr>
      <vt:lpstr>RW</vt:lpstr>
      <vt:lpstr>RW_1</vt:lpstr>
      <vt:lpstr>RW_2</vt:lpstr>
      <vt:lpstr>RWA</vt:lpstr>
      <vt:lpstr>RWCAT</vt:lpstr>
      <vt:lpstr>SP</vt:lpstr>
      <vt:lpstr>SP_0</vt:lpstr>
      <vt:lpstr>SP_100</vt:lpstr>
      <vt:lpstr>SUFT</vt:lpstr>
      <vt:lpstr>SW</vt:lpstr>
      <vt:lpstr>SWA</vt:lpstr>
      <vt:lpstr>SWIR</vt:lpstr>
      <vt:lpstr>SWS</vt:lpstr>
      <vt:lpstr>TARFRAC</vt:lpstr>
      <vt:lpstr>TARPC</vt:lpstr>
      <vt:lpstr>TF</vt:lpstr>
      <vt:lpstr>THICK</vt:lpstr>
      <vt:lpstr>TOP</vt:lpstr>
      <vt:lpstr>TRW</vt:lpstr>
      <vt:lpstr>TS</vt:lpstr>
      <vt:lpstr>VISO</vt:lpstr>
      <vt:lpstr>VSH</vt:lpstr>
      <vt:lpstr>VSHG</vt:lpstr>
      <vt:lpstr>VSHS</vt:lpstr>
      <vt:lpstr>VSHX</vt:lpstr>
      <vt:lpstr>WTROCK</vt:lpstr>
      <vt:lpstr>WTSH</vt:lpstr>
      <vt:lpstr>WTSND</vt:lpstr>
      <vt:lpstr>WTTAR</vt:lpstr>
      <vt:lpstr>WTWTR</vt:lpstr>
      <vt:lpstr>ZF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</dc:creator>
  <cp:lastModifiedBy>ross</cp:lastModifiedBy>
  <dcterms:created xsi:type="dcterms:W3CDTF">2018-09-27T03:22:05Z</dcterms:created>
  <dcterms:modified xsi:type="dcterms:W3CDTF">2018-10-03T16:40:42Z</dcterms:modified>
</cp:coreProperties>
</file>